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3 Months to be Data Analyst\Week 1 Excel\Advanced Pivot Table Tricks\"/>
    </mc:Choice>
  </mc:AlternateContent>
  <xr:revisionPtr revIDLastSave="0" documentId="13_ncr:1_{4BF6345A-F037-4E27-BC80-62333F0B3C0C}" xr6:coauthVersionLast="47" xr6:coauthVersionMax="47" xr10:uidLastSave="{00000000-0000-0000-0000-000000000000}"/>
  <bookViews>
    <workbookView xWindow="-120" yWindow="-120" windowWidth="20730" windowHeight="11160" xr2:uid="{75B0C699-5D93-45CF-95C8-EC852DE8408B}"/>
  </bookViews>
  <sheets>
    <sheet name="Dashboard" sheetId="9" r:id="rId1"/>
    <sheet name="Pivots for Dashboard" sheetId="8" r:id="rId2"/>
  </sheets>
  <definedNames>
    <definedName name="Slicer_Manager">#N/A</definedName>
    <definedName name="Slicer_Year">#N/A</definedName>
    <definedName name="trend.choice">'Pivots for Dashboard'!$R$43:$R$47</definedName>
  </definedNames>
  <calcPr calcId="191029"/>
  <pivotCaches>
    <pivotCache cacheId="572" r:id="rId3"/>
    <pivotCache cacheId="784" r:id="rId4"/>
    <pivotCache cacheId="787" r:id="rId5"/>
    <pivotCache cacheId="790" r:id="rId6"/>
    <pivotCache cacheId="793" r:id="rId7"/>
  </pivotCaches>
  <extLst>
    <ext xmlns:x14="http://schemas.microsoft.com/office/spreadsheetml/2009/9/main" uri="{876F7934-8845-4945-9796-88D515C7AA90}">
      <x14:pivotCaches>
        <pivotCache cacheId="356"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ls_3c257607-877c-4c52-bb0a-f9bd6163a2da" name="calls" connection="Query - calls"/>
          <x15:modelTable id="custs_db6312af-7a40-487a-ac6d-667ae9e92345" name="custs" connection="Query - custs"/>
          <x15:modelTable id="reps_84800601-adbd-4ef9-8436-e4206054bdd1" name="reps" connection="Query - reps"/>
        </x15:modelTables>
        <x15:modelRelationships>
          <x15:modelRelationship fromTable="calls" fromColumn="Customer ID" toTable="custs" toColumn="Customer"/>
          <x15:modelRelationship fromTable="calls" fromColumn="Representative" toTable="reps" toColumn="Rep"/>
        </x15:modelRelationship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43" i="8" l="1"/>
  <c r="P46" i="8"/>
  <c r="P47" i="8"/>
  <c r="P48" i="8"/>
  <c r="P49" i="8"/>
  <c r="P50" i="8"/>
  <c r="P51" i="8"/>
  <c r="P52" i="8"/>
  <c r="P53" i="8"/>
  <c r="P54" i="8"/>
  <c r="P55" i="8"/>
  <c r="P56" i="8"/>
  <c r="P45" i="8"/>
  <c r="O46" i="8"/>
  <c r="O47" i="8"/>
  <c r="O48" i="8"/>
  <c r="O49" i="8"/>
  <c r="O50" i="8"/>
  <c r="O51" i="8"/>
  <c r="O52" i="8"/>
  <c r="O53" i="8"/>
  <c r="O54" i="8"/>
  <c r="O55" i="8"/>
  <c r="O56" i="8"/>
  <c r="O45" i="8"/>
  <c r="N19" i="9"/>
  <c r="L19" i="9"/>
  <c r="J19" i="9"/>
  <c r="H26" i="9"/>
  <c r="H24" i="9"/>
  <c r="H22" i="9"/>
  <c r="H20" i="9"/>
  <c r="H19" i="9"/>
  <c r="N26" i="9"/>
  <c r="N27" i="9" s="1"/>
  <c r="N24" i="9"/>
  <c r="N25" i="9" s="1"/>
  <c r="N22" i="9"/>
  <c r="N23" i="9" s="1"/>
  <c r="N20" i="9"/>
  <c r="N21" i="9" s="1"/>
  <c r="L26" i="9"/>
  <c r="L27" i="9" s="1"/>
  <c r="L24" i="9"/>
  <c r="L25" i="9" s="1"/>
  <c r="L22" i="9"/>
  <c r="L23" i="9" s="1"/>
  <c r="L20" i="9"/>
  <c r="L21" i="9" s="1"/>
  <c r="J26" i="9"/>
  <c r="J27" i="9" s="1"/>
  <c r="J24" i="9"/>
  <c r="J25" i="9" s="1"/>
  <c r="J22" i="9"/>
  <c r="J23" i="9" s="1"/>
  <c r="J20" i="9"/>
  <c r="J21" i="9" s="1"/>
  <c r="C28" i="9"/>
  <c r="C26" i="9"/>
  <c r="C23" i="9"/>
  <c r="C21" i="9"/>
  <c r="C18" i="9"/>
  <c r="C16" i="9"/>
  <c r="C13" i="9"/>
  <c r="C11" i="9"/>
  <c r="C8" i="9"/>
  <c r="C6" i="9"/>
  <c r="E9" i="8"/>
  <c r="E8" i="8"/>
  <c r="E7" i="8"/>
  <c r="E6" i="8"/>
  <c r="E5" i="8"/>
  <c r="O58" i="8" l="1"/>
  <c r="P58" i="8"/>
  <c r="N60" i="8" s="1"/>
  <c r="D8" i="9"/>
  <c r="D13" i="9"/>
  <c r="D18" i="9"/>
  <c r="D23" i="9"/>
  <c r="D2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DAA0F-8D4D-4986-BBBE-FA01B445AA79}" keepAlive="1" name="Query - 2018-data" description="Connection to the '2018-data' query in the workbook." type="5" refreshedVersion="0" background="1">
    <dbPr connection="Provider=Microsoft.Mashup.OleDb.1;Data Source=$Workbook$;Location=2018-data;Extended Properties=&quot;&quot;" command="SELECT * FROM [2018-data]"/>
  </connection>
  <connection id="2" xr16:uid="{09189E23-7EF3-4F88-B0EE-6825837476C6}" name="Query - calls" description="Connection to the 'calls' query in the workbook." type="100" refreshedVersion="8" minRefreshableVersion="5">
    <extLst>
      <ext xmlns:x15="http://schemas.microsoft.com/office/spreadsheetml/2010/11/main" uri="{DE250136-89BD-433C-8126-D09CA5730AF9}">
        <x15:connection id="573f939d-4a1b-4a42-bd3d-c08bc86d9e6b"/>
      </ext>
    </extLst>
  </connection>
  <connection id="3" xr16:uid="{79C3331C-8319-4E8A-8D4A-8AA698BD3C0E}" name="Query - custs" description="Connection to the 'custs' query in the workbook." type="100" refreshedVersion="8" minRefreshableVersion="5">
    <extLst>
      <ext xmlns:x15="http://schemas.microsoft.com/office/spreadsheetml/2010/11/main" uri="{DE250136-89BD-433C-8126-D09CA5730AF9}">
        <x15:connection id="6317b241-7b5c-4c4b-be8f-aacfd870e4bb"/>
      </ext>
    </extLst>
  </connection>
  <connection id="4" xr16:uid="{70CEC76C-595C-428C-878A-3B4EFAEB163D}" name="Query - reps" description="Connection to the 'reps' query in the workbook." type="100" refreshedVersion="8" minRefreshableVersion="5">
    <extLst>
      <ext xmlns:x15="http://schemas.microsoft.com/office/spreadsheetml/2010/11/main" uri="{DE250136-89BD-433C-8126-D09CA5730AF9}">
        <x15:connection id="506c4c4c-9571-4b37-b0e7-7b24f8b1c958">
          <x15:oledbPr connection="Provider=Microsoft.Mashup.OleDb.1;Data Source=$Workbook$;Location=reps;Extended Properties=&quot;&quot;">
            <x15:dbTables>
              <x15:dbTable name="reps"/>
            </x15:dbTables>
          </x15:oledbPr>
        </x15:connection>
      </ext>
    </extLst>
  </connection>
  <connection id="5" xr16:uid="{8F263637-BDC8-475B-A12C-4927B2557F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<sst xmlns="http://schemas.openxmlformats.org/spreadsheetml/2006/main" count="91" uniqueCount="54">
  <si>
    <t>Row Labels</t>
  </si>
  <si>
    <t>Grand Total</t>
  </si>
  <si>
    <t>Sum of Purchase Amount</t>
  </si>
  <si>
    <t>Graduate</t>
  </si>
  <si>
    <t>High School</t>
  </si>
  <si>
    <t>PhD</t>
  </si>
  <si>
    <t>Undergrad</t>
  </si>
  <si>
    <t>Column Labels</t>
  </si>
  <si>
    <t>R001</t>
  </si>
  <si>
    <t>R002</t>
  </si>
  <si>
    <t>R003</t>
  </si>
  <si>
    <t>May</t>
  </si>
  <si>
    <t>Count of Calls</t>
  </si>
  <si>
    <t>April</t>
  </si>
  <si>
    <t>August</t>
  </si>
  <si>
    <t>December</t>
  </si>
  <si>
    <t>February</t>
  </si>
  <si>
    <t>January</t>
  </si>
  <si>
    <t>July</t>
  </si>
  <si>
    <t>June</t>
  </si>
  <si>
    <t>March</t>
  </si>
  <si>
    <t>November</t>
  </si>
  <si>
    <t>October</t>
  </si>
  <si>
    <t>September</t>
  </si>
  <si>
    <t>Female</t>
  </si>
  <si>
    <t>Male</t>
  </si>
  <si>
    <t>Values</t>
  </si>
  <si>
    <t>Pivots and calculations for Dashboard</t>
  </si>
  <si>
    <t>Sum of Duration</t>
  </si>
  <si>
    <t>Long Calls</t>
  </si>
  <si>
    <t>Zero Amount Calls</t>
  </si>
  <si>
    <t>% Change</t>
  </si>
  <si>
    <t>Unknown</t>
  </si>
  <si>
    <t>Gender</t>
  </si>
  <si>
    <t>Education</t>
  </si>
  <si>
    <t xml:space="preserve">  </t>
  </si>
  <si>
    <t>Call count</t>
  </si>
  <si>
    <t>Call Centre Performance Report - 2019</t>
  </si>
  <si>
    <t>Talk time</t>
  </si>
  <si>
    <t>Long calls</t>
  </si>
  <si>
    <t>Amount</t>
  </si>
  <si>
    <t>Zero $ Calls</t>
  </si>
  <si>
    <t>Manager Performance</t>
  </si>
  <si>
    <t>Call count by Reps &amp; Gender</t>
  </si>
  <si>
    <t>Customer Demographics - Calls &amp; Long Call %</t>
  </si>
  <si>
    <t>Annual Trends</t>
  </si>
  <si>
    <t>Selected option</t>
  </si>
  <si>
    <t>Choice</t>
  </si>
  <si>
    <t>Month</t>
  </si>
  <si>
    <t>Total</t>
  </si>
  <si>
    <t>Choices</t>
  </si>
  <si>
    <t>Call Count</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</si>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</sst>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93" formatCode="&quot;$&quot;#,##0,&quot;k&quot;"/>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sz val="24"/>
      <name val="Segoe UI Black"/>
      <family val="2"/>
    </font>
    <font>
      <sz val="11"/>
      <color theme="1"/>
      <name val="Segoe UI Black"/>
      <family val="2"/>
    </font>
    <font>
      <sz val="11"/>
      <color theme="0" tint="-0.34998626667073579"/>
      <name val="Segoe UI Black"/>
      <family val="2"/>
    </font>
    <font>
      <sz val="11"/>
      <color theme="0"/>
      <name val="Segoe UI Black"/>
      <family val="2"/>
    </font>
    <font>
      <sz val="11"/>
      <color theme="0"/>
      <name val="Segoe UI Light"/>
      <family val="2"/>
    </font>
    <font>
      <b/>
      <sz val="22"/>
      <color theme="0"/>
      <name val="Segoe UI Black"/>
      <family val="2"/>
    </font>
    <font>
      <sz val="24"/>
      <color theme="0"/>
      <name val="Segoe UI Black"/>
      <family val="2"/>
    </font>
    <font>
      <sz val="16"/>
      <color theme="4"/>
      <name val="Segoe UI Black"/>
      <family val="2"/>
    </font>
    <font>
      <b/>
      <sz val="12"/>
      <color theme="4"/>
      <name val="Segoe UI Semibold"/>
      <family val="2"/>
    </font>
    <font>
      <sz val="10"/>
      <color theme="1"/>
      <name val="Segoe UI Historic"/>
      <family val="2"/>
    </font>
    <font>
      <sz val="11"/>
      <color theme="7"/>
      <name val="Segoe UI Historic"/>
      <family val="2"/>
    </font>
    <font>
      <b/>
      <sz val="10"/>
      <color theme="4"/>
      <name val="Segoe UI Semibold"/>
      <family val="2"/>
    </font>
    <font>
      <b/>
      <sz val="10"/>
      <color theme="0" tint="-4.9989318521683403E-2"/>
      <name val="Segoe UI Semibold"/>
      <family val="2"/>
    </font>
  </fonts>
  <fills count="5">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right/>
      <top style="dotted">
        <color theme="0"/>
      </top>
      <bottom/>
      <diagonal/>
    </border>
    <border>
      <left/>
      <right/>
      <top/>
      <bottom style="dotted">
        <color theme="0"/>
      </bottom>
      <diagonal/>
    </border>
    <border>
      <left/>
      <right/>
      <top style="dotted">
        <color indexed="64"/>
      </top>
      <bottom/>
      <diagonal/>
    </border>
    <border>
      <left/>
      <right/>
      <top/>
      <bottom style="dotted">
        <color indexed="64"/>
      </bottom>
      <diagonal/>
    </border>
    <border>
      <left style="dotted">
        <color indexed="64"/>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0" borderId="0" xfId="0" applyFont="1"/>
    <xf numFmtId="0" fontId="3" fillId="0" borderId="0" xfId="0" applyFont="1"/>
    <xf numFmtId="9" fontId="0" fillId="0" borderId="0" xfId="2" applyFont="1"/>
    <xf numFmtId="0" fontId="4" fillId="0" borderId="0" xfId="0" applyFont="1" applyAlignment="1">
      <alignment horizontal="left" vertical="center"/>
    </xf>
    <xf numFmtId="0" fontId="5" fillId="0" borderId="0" xfId="0" applyFont="1"/>
    <xf numFmtId="0" fontId="6" fillId="2" borderId="0" xfId="0" applyFont="1" applyFill="1"/>
    <xf numFmtId="0" fontId="5" fillId="2" borderId="0" xfId="0" applyFont="1" applyFill="1"/>
    <xf numFmtId="0" fontId="5" fillId="2" borderId="0" xfId="0" applyFont="1" applyFill="1" applyBorder="1"/>
    <xf numFmtId="0" fontId="5" fillId="2" borderId="1" xfId="0" applyFont="1" applyFill="1" applyBorder="1"/>
    <xf numFmtId="0" fontId="8" fillId="2" borderId="0" xfId="0" applyFont="1" applyFill="1" applyAlignment="1">
      <alignment horizontal="center"/>
    </xf>
    <xf numFmtId="9" fontId="8" fillId="2" borderId="0" xfId="0" applyNumberFormat="1" applyFont="1" applyFill="1" applyBorder="1"/>
    <xf numFmtId="9" fontId="8" fillId="2" borderId="2" xfId="0" applyNumberFormat="1" applyFont="1" applyFill="1" applyBorder="1"/>
    <xf numFmtId="0" fontId="10" fillId="2" borderId="0" xfId="0" applyFont="1" applyFill="1" applyAlignment="1">
      <alignment horizontal="left" vertical="center"/>
    </xf>
    <xf numFmtId="0" fontId="7" fillId="2" borderId="0" xfId="0" applyFont="1" applyFill="1"/>
    <xf numFmtId="193" fontId="9" fillId="2" borderId="0" xfId="1" applyNumberFormat="1" applyFont="1" applyFill="1" applyAlignment="1">
      <alignment horizontal="center"/>
    </xf>
    <xf numFmtId="3" fontId="9" fillId="2" borderId="0" xfId="1" applyNumberFormat="1" applyFont="1" applyFill="1" applyAlignment="1">
      <alignment horizontal="center" vertical="center"/>
    </xf>
    <xf numFmtId="3" fontId="8" fillId="2" borderId="2" xfId="0" applyNumberFormat="1" applyFont="1" applyFill="1" applyBorder="1" applyAlignment="1">
      <alignment horizontal="left"/>
    </xf>
    <xf numFmtId="193" fontId="8" fillId="2" borderId="2" xfId="0" applyNumberFormat="1" applyFont="1" applyFill="1" applyBorder="1" applyAlignment="1">
      <alignment horizontal="left"/>
    </xf>
    <xf numFmtId="3" fontId="8" fillId="2" borderId="2" xfId="1" applyNumberFormat="1" applyFont="1" applyFill="1" applyBorder="1" applyAlignment="1">
      <alignment horizontal="left"/>
    </xf>
    <xf numFmtId="0" fontId="5" fillId="3" borderId="0" xfId="0" applyFont="1" applyFill="1"/>
    <xf numFmtId="0" fontId="11" fillId="3" borderId="0" xfId="0" applyFont="1" applyFill="1"/>
    <xf numFmtId="0" fontId="5" fillId="3" borderId="3" xfId="0" applyFont="1" applyFill="1" applyBorder="1"/>
    <xf numFmtId="0" fontId="5" fillId="3" borderId="4" xfId="0" applyFont="1" applyFill="1" applyBorder="1"/>
    <xf numFmtId="0" fontId="5" fillId="4" borderId="3" xfId="0" applyFont="1" applyFill="1" applyBorder="1" applyAlignment="1">
      <alignment vertical="center"/>
    </xf>
    <xf numFmtId="0" fontId="5" fillId="4" borderId="0" xfId="0" applyFont="1" applyFill="1"/>
    <xf numFmtId="0" fontId="5" fillId="4" borderId="0" xfId="0" applyFont="1" applyFill="1" applyBorder="1" applyAlignment="1">
      <alignment vertical="center"/>
    </xf>
    <xf numFmtId="0" fontId="12" fillId="4" borderId="3" xfId="0" applyFont="1" applyFill="1" applyBorder="1" applyAlignment="1">
      <alignment horizontal="left" vertical="center"/>
    </xf>
    <xf numFmtId="0" fontId="12" fillId="4" borderId="0" xfId="0" applyFont="1" applyFill="1" applyBorder="1" applyAlignment="1">
      <alignment horizontal="left" vertical="center"/>
    </xf>
    <xf numFmtId="0" fontId="13" fillId="4" borderId="0" xfId="0" applyFont="1" applyFill="1"/>
    <xf numFmtId="0" fontId="13" fillId="3" borderId="0" xfId="0" applyFont="1" applyFill="1"/>
    <xf numFmtId="0" fontId="13" fillId="3" borderId="0" xfId="0" applyFont="1" applyFill="1" applyAlignment="1">
      <alignment horizontal="left"/>
    </xf>
    <xf numFmtId="9" fontId="14" fillId="3" borderId="0" xfId="2" applyFont="1" applyFill="1" applyAlignment="1">
      <alignment horizontal="left"/>
    </xf>
    <xf numFmtId="0" fontId="5" fillId="3" borderId="5" xfId="0" applyFont="1" applyFill="1" applyBorder="1"/>
    <xf numFmtId="0" fontId="15" fillId="4" borderId="3" xfId="0" applyFont="1" applyFill="1" applyBorder="1" applyAlignment="1">
      <alignment vertical="center"/>
    </xf>
    <xf numFmtId="0" fontId="15" fillId="4" borderId="0" xfId="0" applyFont="1" applyFill="1" applyBorder="1" applyAlignment="1">
      <alignment vertical="center"/>
    </xf>
    <xf numFmtId="0" fontId="5" fillId="0" borderId="0" xfId="0" applyFont="1" applyFill="1"/>
    <xf numFmtId="0" fontId="15" fillId="0" borderId="0" xfId="0" applyFont="1" applyFill="1" applyBorder="1" applyAlignment="1">
      <alignment vertical="center"/>
    </xf>
    <xf numFmtId="0" fontId="5" fillId="0" borderId="0" xfId="0" applyFont="1" applyFill="1" applyBorder="1"/>
    <xf numFmtId="0" fontId="15" fillId="3" borderId="3" xfId="0" applyFont="1" applyFill="1" applyBorder="1" applyAlignment="1">
      <alignment vertical="center"/>
    </xf>
    <xf numFmtId="0" fontId="15" fillId="3" borderId="0" xfId="0" applyFont="1" applyFill="1" applyBorder="1" applyAlignment="1">
      <alignment vertical="center"/>
    </xf>
    <xf numFmtId="0" fontId="16" fillId="3" borderId="3" xfId="0" applyFont="1" applyFill="1" applyBorder="1" applyAlignment="1">
      <alignment vertical="center"/>
    </xf>
  </cellXfs>
  <cellStyles count="3">
    <cellStyle name="Comma" xfId="1" builtinId="3"/>
    <cellStyle name="Normal" xfId="0" builtinId="0"/>
    <cellStyle name="Percent" xfId="2" builtinId="5"/>
  </cellStyles>
  <dxfs count="2">
    <dxf>
      <font>
        <b/>
        <color theme="1"/>
      </font>
      <border>
        <bottom style="thin">
          <color theme="4"/>
        </bottom>
        <vertical/>
        <horizontal/>
      </border>
    </dxf>
    <dxf>
      <font>
        <color theme="1"/>
      </font>
      <fill>
        <patternFill>
          <bgColor theme="0" tint="-4.9989318521683403E-2"/>
        </patternFill>
      </fill>
      <border diagonalUp="0" diagonalDown="0">
        <left/>
        <right/>
        <top/>
        <bottom/>
        <vertical/>
        <horizontal/>
      </border>
    </dxf>
  </dxfs>
  <tableStyles count="2" defaultTableStyle="TableStyleMedium2" defaultPivotStyle="PivotStyleLight16">
    <tableStyle name="Slicer Style 1" pivot="0" table="0" count="0" xr9:uid="{83838953-EBEF-4301-8666-401D738AAB20}"/>
    <tableStyle name="SlicerStyleDark1 2" pivot="0" table="0" count="10" xr9:uid="{A5EFF2C5-EEBE-46EF-B21E-AD8EF120074A}">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Call Centre Dashboard in Excel.xlsx]Pivots for Dashboard!PivotTable5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 for Dashboard'!$B$13:$B$14</c:f>
              <c:strCache>
                <c:ptCount val="1"/>
                <c:pt idx="0">
                  <c:v>Unknown</c:v>
                </c:pt>
              </c:strCache>
            </c:strRef>
          </c:tx>
          <c:spPr>
            <a:solidFill>
              <a:schemeClr val="accent1"/>
            </a:solidFill>
            <a:ln>
              <a:noFill/>
            </a:ln>
            <a:effectLst/>
          </c:spPr>
          <c:invertIfNegative val="0"/>
          <c:cat>
            <c:strRef>
              <c:f>'Pivots for Dashboard'!$A$15:$A$18</c:f>
              <c:strCache>
                <c:ptCount val="3"/>
                <c:pt idx="0">
                  <c:v>R003</c:v>
                </c:pt>
                <c:pt idx="1">
                  <c:v>R002</c:v>
                </c:pt>
                <c:pt idx="2">
                  <c:v>R001</c:v>
                </c:pt>
              </c:strCache>
            </c:strRef>
          </c:cat>
          <c:val>
            <c:numRef>
              <c:f>'Pivots for Dashboard'!$B$15:$B$18</c:f>
              <c:numCache>
                <c:formatCode>0</c:formatCode>
                <c:ptCount val="3"/>
                <c:pt idx="0">
                  <c:v>82</c:v>
                </c:pt>
                <c:pt idx="1">
                  <c:v>64</c:v>
                </c:pt>
                <c:pt idx="2">
                  <c:v>82</c:v>
                </c:pt>
              </c:numCache>
            </c:numRef>
          </c:val>
          <c:extLst>
            <c:ext xmlns:c16="http://schemas.microsoft.com/office/drawing/2014/chart" uri="{C3380CC4-5D6E-409C-BE32-E72D297353CC}">
              <c16:uniqueId val="{00000000-7E6B-4C29-B024-54B01EFE62EF}"/>
            </c:ext>
          </c:extLst>
        </c:ser>
        <c:ser>
          <c:idx val="1"/>
          <c:order val="1"/>
          <c:tx>
            <c:strRef>
              <c:f>'Pivots for Dashboard'!$C$13:$C$14</c:f>
              <c:strCache>
                <c:ptCount val="1"/>
                <c:pt idx="0">
                  <c:v>Male</c:v>
                </c:pt>
              </c:strCache>
            </c:strRef>
          </c:tx>
          <c:spPr>
            <a:solidFill>
              <a:schemeClr val="accent2"/>
            </a:solidFill>
            <a:ln>
              <a:noFill/>
            </a:ln>
            <a:effectLst/>
          </c:spPr>
          <c:invertIfNegative val="0"/>
          <c:cat>
            <c:strRef>
              <c:f>'Pivots for Dashboard'!$A$15:$A$18</c:f>
              <c:strCache>
                <c:ptCount val="3"/>
                <c:pt idx="0">
                  <c:v>R003</c:v>
                </c:pt>
                <c:pt idx="1">
                  <c:v>R002</c:v>
                </c:pt>
                <c:pt idx="2">
                  <c:v>R001</c:v>
                </c:pt>
              </c:strCache>
            </c:strRef>
          </c:cat>
          <c:val>
            <c:numRef>
              <c:f>'Pivots for Dashboard'!$C$15:$C$18</c:f>
              <c:numCache>
                <c:formatCode>0</c:formatCode>
                <c:ptCount val="3"/>
                <c:pt idx="0">
                  <c:v>337</c:v>
                </c:pt>
                <c:pt idx="1">
                  <c:v>332</c:v>
                </c:pt>
                <c:pt idx="2">
                  <c:v>343</c:v>
                </c:pt>
              </c:numCache>
            </c:numRef>
          </c:val>
          <c:extLst>
            <c:ext xmlns:c16="http://schemas.microsoft.com/office/drawing/2014/chart" uri="{C3380CC4-5D6E-409C-BE32-E72D297353CC}">
              <c16:uniqueId val="{00000001-7E6B-4C29-B024-54B01EFE62EF}"/>
            </c:ext>
          </c:extLst>
        </c:ser>
        <c:ser>
          <c:idx val="2"/>
          <c:order val="2"/>
          <c:tx>
            <c:strRef>
              <c:f>'Pivots for Dashboard'!$D$13:$D$14</c:f>
              <c:strCache>
                <c:ptCount val="1"/>
                <c:pt idx="0">
                  <c:v>Female</c:v>
                </c:pt>
              </c:strCache>
            </c:strRef>
          </c:tx>
          <c:spPr>
            <a:solidFill>
              <a:schemeClr val="accent3"/>
            </a:solidFill>
            <a:ln>
              <a:noFill/>
            </a:ln>
            <a:effectLst/>
          </c:spPr>
          <c:invertIfNegative val="0"/>
          <c:cat>
            <c:strRef>
              <c:f>'Pivots for Dashboard'!$A$15:$A$18</c:f>
              <c:strCache>
                <c:ptCount val="3"/>
                <c:pt idx="0">
                  <c:v>R003</c:v>
                </c:pt>
                <c:pt idx="1">
                  <c:v>R002</c:v>
                </c:pt>
                <c:pt idx="2">
                  <c:v>R001</c:v>
                </c:pt>
              </c:strCache>
            </c:strRef>
          </c:cat>
          <c:val>
            <c:numRef>
              <c:f>'Pivots for Dashboard'!$D$15:$D$18</c:f>
              <c:numCache>
                <c:formatCode>0</c:formatCode>
                <c:ptCount val="3"/>
                <c:pt idx="0">
                  <c:v>312</c:v>
                </c:pt>
                <c:pt idx="1">
                  <c:v>287</c:v>
                </c:pt>
                <c:pt idx="2">
                  <c:v>283</c:v>
                </c:pt>
              </c:numCache>
            </c:numRef>
          </c:val>
          <c:extLst>
            <c:ext xmlns:c16="http://schemas.microsoft.com/office/drawing/2014/chart" uri="{C3380CC4-5D6E-409C-BE32-E72D297353CC}">
              <c16:uniqueId val="{00000005-7E6B-4C29-B024-54B01EFE62EF}"/>
            </c:ext>
          </c:extLst>
        </c:ser>
        <c:dLbls>
          <c:showLegendKey val="0"/>
          <c:showVal val="0"/>
          <c:showCatName val="0"/>
          <c:showSerName val="0"/>
          <c:showPercent val="0"/>
          <c:showBubbleSize val="0"/>
        </c:dLbls>
        <c:gapWidth val="182"/>
        <c:axId val="1469386304"/>
        <c:axId val="1469384640"/>
      </c:barChart>
      <c:catAx>
        <c:axId val="1469386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384640"/>
        <c:crosses val="autoZero"/>
        <c:auto val="1"/>
        <c:lblAlgn val="ctr"/>
        <c:lblOffset val="100"/>
        <c:noMultiLvlLbl val="0"/>
      </c:catAx>
      <c:valAx>
        <c:axId val="1469384640"/>
        <c:scaling>
          <c:orientation val="minMax"/>
        </c:scaling>
        <c:delete val="1"/>
        <c:axPos val="b"/>
        <c:numFmt formatCode="0" sourceLinked="1"/>
        <c:majorTickMark val="out"/>
        <c:minorTickMark val="none"/>
        <c:tickLblPos val="nextTo"/>
        <c:crossAx val="14693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'Pivots for Dashboard'!$O$44</c:f>
              <c:strCache>
                <c:ptCount val="1"/>
                <c:pt idx="0">
                  <c:v>2018</c:v>
                </c:pt>
              </c:strCache>
            </c:strRef>
          </c:tx>
          <c:spPr>
            <a:ln w="28575" cap="rnd">
              <a:solidFill>
                <a:schemeClr val="accent1"/>
              </a:solidFill>
              <a:round/>
            </a:ln>
            <a:effectLst/>
          </c:spPr>
          <c:marker>
            <c:symbol val="none"/>
          </c:marker>
          <c:cat>
            <c:strRef>
              <c:f>'Pivots for Dashboard'!$N$45:$N$56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for Dashboard'!$O$45:$O$56</c:f>
              <c:numCache>
                <c:formatCode>General</c:formatCode>
                <c:ptCount val="12"/>
                <c:pt idx="0">
                  <c:v>10783</c:v>
                </c:pt>
                <c:pt idx="1">
                  <c:v>8966</c:v>
                </c:pt>
                <c:pt idx="2">
                  <c:v>13781</c:v>
                </c:pt>
                <c:pt idx="3">
                  <c:v>11263</c:v>
                </c:pt>
                <c:pt idx="4">
                  <c:v>10318</c:v>
                </c:pt>
                <c:pt idx="5">
                  <c:v>10702</c:v>
                </c:pt>
                <c:pt idx="6">
                  <c:v>10066</c:v>
                </c:pt>
                <c:pt idx="7">
                  <c:v>12638</c:v>
                </c:pt>
                <c:pt idx="8">
                  <c:v>12476</c:v>
                </c:pt>
                <c:pt idx="9">
                  <c:v>8842</c:v>
                </c:pt>
                <c:pt idx="10">
                  <c:v>12769</c:v>
                </c:pt>
                <c:pt idx="11">
                  <c:v>11857</c:v>
                </c:pt>
              </c:numCache>
            </c:numRef>
          </c:val>
          <c:smooth val="0"/>
          <c:extLst>
            <c:ext xmlns:c16="http://schemas.microsoft.com/office/drawing/2014/chart" uri="{C3380CC4-5D6E-409C-BE32-E72D297353CC}">
              <c16:uniqueId val="{00000000-8BAA-4D88-9220-C3E9C94CEC47}"/>
            </c:ext>
          </c:extLst>
        </c:ser>
        <c:ser>
          <c:idx val="1"/>
          <c:order val="1"/>
          <c:tx>
            <c:strRef>
              <c:f>'Pivots for Dashboard'!$P$44</c:f>
              <c:strCache>
                <c:ptCount val="1"/>
                <c:pt idx="0">
                  <c:v>2019</c:v>
                </c:pt>
              </c:strCache>
            </c:strRef>
          </c:tx>
          <c:spPr>
            <a:ln w="28575" cap="rnd">
              <a:solidFill>
                <a:schemeClr val="accent2"/>
              </a:solidFill>
              <a:round/>
            </a:ln>
            <a:effectLst/>
          </c:spPr>
          <c:marker>
            <c:symbol val="none"/>
          </c:marker>
          <c:cat>
            <c:strRef>
              <c:f>'Pivots for Dashboard'!$N$45:$N$56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 for Dashboard'!$P$45:$P$56</c:f>
              <c:numCache>
                <c:formatCode>General</c:formatCode>
                <c:ptCount val="12"/>
                <c:pt idx="0">
                  <c:v>21982</c:v>
                </c:pt>
                <c:pt idx="1">
                  <c:v>18567</c:v>
                </c:pt>
                <c:pt idx="2">
                  <c:v>22033</c:v>
                </c:pt>
                <c:pt idx="3">
                  <c:v>21754</c:v>
                </c:pt>
                <c:pt idx="4">
                  <c:v>20362</c:v>
                </c:pt>
                <c:pt idx="5">
                  <c:v>19271</c:v>
                </c:pt>
                <c:pt idx="6">
                  <c:v>19012</c:v>
                </c:pt>
                <c:pt idx="7">
                  <c:v>26198</c:v>
                </c:pt>
                <c:pt idx="8">
                  <c:v>18998</c:v>
                </c:pt>
                <c:pt idx="9">
                  <c:v>22720</c:v>
                </c:pt>
                <c:pt idx="10">
                  <c:v>21261</c:v>
                </c:pt>
                <c:pt idx="11">
                  <c:v>21896</c:v>
                </c:pt>
              </c:numCache>
            </c:numRef>
          </c:val>
          <c:smooth val="0"/>
          <c:extLst>
            <c:ext xmlns:c16="http://schemas.microsoft.com/office/drawing/2014/chart" uri="{C3380CC4-5D6E-409C-BE32-E72D297353CC}">
              <c16:uniqueId val="{00000001-8BAA-4D88-9220-C3E9C94CEC47}"/>
            </c:ext>
          </c:extLst>
        </c:ser>
        <c:dLbls>
          <c:showLegendKey val="0"/>
          <c:showVal val="0"/>
          <c:showCatName val="0"/>
          <c:showSerName val="0"/>
          <c:showPercent val="0"/>
          <c:showBubbleSize val="0"/>
        </c:dLbls>
        <c:smooth val="0"/>
        <c:axId val="1465876496"/>
        <c:axId val="1465878160"/>
      </c:lineChart>
      <c:catAx>
        <c:axId val="1465876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78160"/>
        <c:crosses val="autoZero"/>
        <c:auto val="1"/>
        <c:lblAlgn val="ctr"/>
        <c:lblOffset val="100"/>
        <c:noMultiLvlLbl val="0"/>
      </c:catAx>
      <c:valAx>
        <c:axId val="14658781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87649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Style="combo" dx="22" fmlaLink="'Pivots for Dashboard'!$P$42" fmlaRange="'Pivots for Dashboard'!$R$43:$R$47" noThreeD="1" sel="2"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0</xdr:rowOff>
    </xdr:from>
    <xdr:to>
      <xdr:col>18</xdr:col>
      <xdr:colOff>420440</xdr:colOff>
      <xdr:row>15</xdr:row>
      <xdr:rowOff>191813</xdr:rowOff>
    </xdr:to>
    <xdr:graphicFrame macro="">
      <xdr:nvGraphicFramePr>
        <xdr:cNvPr id="11" name="Chart 10">
          <a:extLst>
            <a:ext uri="{FF2B5EF4-FFF2-40B4-BE49-F238E27FC236}">
              <a16:creationId xmlns:a16="http://schemas.microsoft.com/office/drawing/2014/main" id="{7134635E-D5DC-484D-BE8B-A2D668F33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607218</xdr:colOff>
      <xdr:row>4</xdr:row>
      <xdr:rowOff>0</xdr:rowOff>
    </xdr:from>
    <xdr:to>
      <xdr:col>18</xdr:col>
      <xdr:colOff>95250</xdr:colOff>
      <xdr:row>5</xdr:row>
      <xdr:rowOff>104775</xdr:rowOff>
    </xdr:to>
    <mc:AlternateContent xmlns:mc="http://schemas.openxmlformats.org/markup-compatibility/2006">
      <mc:Choice xmlns:a14="http://schemas.microsoft.com/office/drawing/2010/main" Requires="a14">
        <xdr:graphicFrame macro="">
          <xdr:nvGraphicFramePr>
            <xdr:cNvPr id="12" name="Manager">
              <a:extLst>
                <a:ext uri="{FF2B5EF4-FFF2-40B4-BE49-F238E27FC236}">
                  <a16:creationId xmlns:a16="http://schemas.microsoft.com/office/drawing/2014/main" id="{F2CDFFFA-0C2A-41BE-A0C8-84195228E6CC}"/>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5412581" y="1023938"/>
              <a:ext cx="1838325" cy="42624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28575</xdr:rowOff>
    </xdr:from>
    <xdr:to>
      <xdr:col>19</xdr:col>
      <xdr:colOff>0</xdr:colOff>
      <xdr:row>28</xdr:row>
      <xdr:rowOff>104775</xdr:rowOff>
    </xdr:to>
    <xdr:graphicFrame macro="">
      <xdr:nvGraphicFramePr>
        <xdr:cNvPr id="13" name="Chart 12">
          <a:extLst>
            <a:ext uri="{FF2B5EF4-FFF2-40B4-BE49-F238E27FC236}">
              <a16:creationId xmlns:a16="http://schemas.microsoft.com/office/drawing/2014/main" id="{F6DC9C03-F28D-4A9E-9FAA-BCE64027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17</xdr:col>
          <xdr:colOff>868455</xdr:colOff>
          <xdr:row>17</xdr:row>
          <xdr:rowOff>0</xdr:rowOff>
        </xdr:from>
        <xdr:to>
          <xdr:col>19</xdr:col>
          <xdr:colOff>0</xdr:colOff>
          <xdr:row>17</xdr:row>
          <xdr:rowOff>197784</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5B570393-DF77-553D-B590-87FDE99B667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295275</xdr:colOff>
      <xdr:row>11</xdr:row>
      <xdr:rowOff>180975</xdr:rowOff>
    </xdr:from>
    <xdr:to>
      <xdr:col>7</xdr:col>
      <xdr:colOff>76200</xdr:colOff>
      <xdr:row>25</xdr:row>
      <xdr:rowOff>38100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FC61DA95-FC20-A026-05C9-8D8942FA7A6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05450" y="2419350"/>
              <a:ext cx="1828800" cy="252412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661014583333" backgroundQuery="1" createdVersion="8" refreshedVersion="8" minRefreshableVersion="3" recordCount="0" supportSubquery="1" supportAdvancedDrill="1" xr:uid="{220CA7F9-65D0-4E28-AF27-9FBEF737E9EC}">
  <cacheSource type="external" connectionId="5"/>
  <cacheFields count="7">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 name="[Measures].[Count of Calls]" caption="Count of Calls" numFmtId="0" hierarchy="16" level="32767"/>
    <cacheField name="[Measures].[Sum of Duration]" caption="Sum of Duration" numFmtId="0" hierarchy="27" level="32767"/>
    <cacheField name="[Measures].[Long Calls]" caption="Long Calls" numFmtId="0" hierarchy="19" level="32767"/>
    <cacheField name="[Measures].[Sum of Purchase Amount]" caption="Sum of Purchase Amount" numFmtId="0" hierarchy="26" level="32767"/>
    <cacheField name="[Measures].[Zero Amount Calls]" caption="Zero Amount Calls" numFmtId="0" hierarchy="20" level="32767"/>
    <cacheField name="[reps].[Manager].[Manager]" caption="Manager" numFmtId="0" hierarchy="15" level="1">
      <sharedItems containsSemiMixedTypes="0" containsNonDate="0" containsString="0"/>
    </cacheField>
  </cacheFields>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0"/>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6"/>
      </fieldsUsage>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oneField="1">
      <fieldsUsage count="1">
        <fieldUsage x="5"/>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725816550927" backgroundQuery="1" createdVersion="8" refreshedVersion="8" minRefreshableVersion="3" recordCount="0" supportSubquery="1" supportAdvancedDrill="1" xr:uid="{7A9F1638-BF3B-4A39-8318-EA02925970CF}">
  <cacheSource type="external" connectionId="5"/>
  <cacheFields count="4">
    <cacheField name="[reps].[Rep].[Rep]" caption="Rep" numFmtId="0" hierarchy="13" level="1">
      <sharedItems count="3">
        <s v="R001"/>
        <s v="R002"/>
        <s v="R003"/>
      </sharedItems>
    </cacheField>
    <cacheField name="[Measures].[Count of Calls]" caption="Count of Calls" numFmtId="0" hierarchy="16" level="32767"/>
    <cacheField name="[calls].[Year].[Year]" caption="Year" numFmtId="0" hierarchy="5" level="1">
      <sharedItems containsSemiMixedTypes="0" containsNonDate="0" containsString="0"/>
    </cacheField>
    <cacheField name="[reps].[Manager].[Manager]" caption="Manager" numFmtId="0" hierarchy="15" level="1">
      <sharedItems containsSemiMixedTypes="0" containsNonDate="0" containsString="0"/>
    </cacheField>
  </cacheFields>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2"/>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0"/>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3"/>
      </fieldsUsage>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725817708335" backgroundQuery="1" createdVersion="8" refreshedVersion="8" minRefreshableVersion="3" recordCount="0" supportSubquery="1" supportAdvancedDrill="1" xr:uid="{54ECD12A-8692-4B90-8774-C3BC5C95501F}">
  <cacheSource type="external" connectionId="5"/>
  <cacheFields count="5">
    <cacheField name="[reps].[Rep].[Rep]" caption="Rep" numFmtId="0" hierarchy="13" level="1">
      <sharedItems count="7">
        <s v="R001"/>
        <s v="R002"/>
        <s v="R003"/>
        <s v="R004" u="1"/>
        <s v="R005" u="1"/>
        <s v="R006" u="1"/>
        <s v="R007" u="1"/>
      </sharedItems>
    </cacheField>
    <cacheField name="[Measures].[Count of Calls]" caption="Count of Calls" numFmtId="0" hierarchy="16" level="32767"/>
    <cacheField name="[custs].[Gender].[Gender]" caption="Gender" numFmtId="0" hierarchy="9" level="1">
      <sharedItems count="3">
        <s v="Female"/>
        <s v="Male"/>
        <s v="Unknown"/>
      </sharedItems>
    </cacheField>
    <cacheField name="[calls].[Year].[Year]" caption="Year" numFmtId="0" hierarchy="5" level="1">
      <sharedItems containsSemiMixedTypes="0" containsNonDate="0" containsString="0"/>
    </cacheField>
    <cacheField name="[reps].[Manager].[Manager]" caption="Manager" numFmtId="0" hierarchy="15" level="1">
      <sharedItems containsSemiMixedTypes="0" containsNonDate="0" containsString="0"/>
    </cacheField>
  </cacheFields>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3"/>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2"/>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2" memberValueDatatype="130" unbalanced="0">
      <fieldsUsage count="2">
        <fieldUsage x="-1"/>
        <fieldUsage x="0"/>
      </fieldsUsage>
    </cacheHierarchy>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4"/>
      </fieldsUsage>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725818634259" backgroundQuery="1" createdVersion="8" refreshedVersion="8" minRefreshableVersion="3" recordCount="0" supportSubquery="1" supportAdvancedDrill="1" xr:uid="{541071D7-0600-42F5-983D-E911A286E267}">
  <cacheSource type="external" connectionId="5"/>
  <cacheFields count="6">
    <cacheField name="[Measures].[Count of Calls]" caption="Count of Calls" numFmtId="0" hierarchy="16" level="32767"/>
    <cacheField name="[Measures].[Long Calls]" caption="Long Calls" numFmtId="0" hierarchy="19" level="32767"/>
    <cacheField name="[custs].[Education].[Education]" caption="Education" numFmtId="0" hierarchy="11" level="1">
      <sharedItems count="4">
        <s v="Graduate"/>
        <s v="High School"/>
        <s v="PhD"/>
        <s v="Undergrad"/>
      </sharedItems>
    </cacheField>
    <cacheField name="[custs].[Gender].[Gender]" caption="Gender" numFmtId="0" hierarchy="9" level="1">
      <sharedItems count="3">
        <s v="Female"/>
        <s v="Male"/>
        <s v="Unknown"/>
      </sharedItems>
    </cacheField>
    <cacheField name="[calls].[Year].[Year]" caption="Year" numFmtId="0" hierarchy="5" level="1">
      <sharedItems containsSemiMixedTypes="0" containsNonDate="0" containsString="0"/>
    </cacheField>
    <cacheField name="[reps].[Manager].[Manager]" caption="Manager" numFmtId="0" hierarchy="15" level="1">
      <sharedItems containsSemiMixedTypes="0" containsNonDate="0" containsString="0"/>
    </cacheField>
  </cacheFields>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4"/>
      </fieldsUsage>
    </cacheHierarchy>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2" memberValueDatatype="130" unbalanced="0">
      <fieldsUsage count="2">
        <fieldUsage x="-1"/>
        <fieldUsage x="3"/>
      </fieldsUsage>
    </cacheHierarchy>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2" memberValueDatatype="130" unbalanced="0">
      <fieldsUsage count="2">
        <fieldUsage x="-1"/>
        <fieldUsage x="2"/>
      </fieldsUsage>
    </cacheHierarchy>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5"/>
      </fieldsUsage>
    </cacheHierarchy>
    <cacheHierarchy uniqueName="[Measures].[Count of Calls]" caption="Count of Calls" measure="1" displayFolder="" measureGroup="calls" count="0" oneField="1">
      <fieldsUsage count="1">
        <fieldUsage x="0"/>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oneField="1">
      <fieldsUsage count="1">
        <fieldUsage x="1"/>
      </fieldsUsage>
    </cacheHierarchy>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725819675929" backgroundQuery="1" createdVersion="8" refreshedVersion="8" minRefreshableVersion="3" recordCount="0" supportSubquery="1" supportAdvancedDrill="1" xr:uid="{98D58B20-ADAE-43A8-A0F4-05894C731AF9}">
  <cacheSource type="external" connectionId="5"/>
  <cacheFields count="8">
    <cacheField name="[calls].[Month].[Month]" caption="Month" numFmtId="0" hierarchy="6"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calls].[Month].&amp;[1]"/>
            <x15:cachedUniqueName index="1" name="[calls].[Month].&amp;[2]"/>
            <x15:cachedUniqueName index="2" name="[calls].[Month].&amp;[3]"/>
            <x15:cachedUniqueName index="3" name="[calls].[Month].&amp;[4]"/>
            <x15:cachedUniqueName index="4" name="[calls].[Month].&amp;[5]"/>
            <x15:cachedUniqueName index="5" name="[calls].[Month].&amp;[6]"/>
            <x15:cachedUniqueName index="6" name="[calls].[Month].&amp;[7]"/>
            <x15:cachedUniqueName index="7" name="[calls].[Month].&amp;[8]"/>
            <x15:cachedUniqueName index="8" name="[calls].[Month].&amp;[9]"/>
            <x15:cachedUniqueName index="9" name="[calls].[Month].&amp;[10]"/>
            <x15:cachedUniqueName index="10" name="[calls].[Month].&amp;[11]"/>
            <x15:cachedUniqueName index="11" name="[calls].[Month].&amp;[12]"/>
          </x15:cachedUniqueNames>
        </ext>
      </extLst>
    </cacheField>
    <cacheField name="[Measures].[Count of Calls]" caption="Count of Calls" numFmtId="0" hierarchy="16" level="32767"/>
    <cacheField name="[Measures].[Sum of Duration]" caption="Sum of Duration" numFmtId="0" hierarchy="27" level="32767"/>
    <cacheField name="[Measures].[Long Calls]" caption="Long Calls" numFmtId="0" hierarchy="19" level="32767"/>
    <cacheField name="[Measures].[Sum of Purchase Amount]" caption="Sum of Purchase Amount" numFmtId="0" hierarchy="26" level="32767"/>
    <cacheField name="[Measures].[Zero Amount Calls]" caption="Zero Amount Calls" numFmtId="0" hierarchy="20" level="32767"/>
    <cacheField name="[calls].[Year].[Year]" caption="Year" numFmtId="0" hierarchy="5"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calls].[Year].&amp;[2018]"/>
            <x15:cachedUniqueName index="1" name="[calls].[Year].&amp;[2019]"/>
          </x15:cachedUniqueNames>
        </ext>
      </extLst>
    </cacheField>
    <cacheField name="[reps].[Manager].[Manager]" caption="Manager" numFmtId="0" hierarchy="15" level="1">
      <sharedItems containsSemiMixedTypes="0" containsNonDate="0" containsString="0"/>
    </cacheField>
  </cacheFields>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fieldsUsage count="2">
        <fieldUsage x="-1"/>
        <fieldUsage x="6"/>
      </fieldsUsage>
    </cacheHierarchy>
    <cacheHierarchy uniqueName="[calls].[Month]" caption="Month" attribute="1" defaultMemberUniqueName="[calls].[Month].[All]" allUniqueName="[calls].[Month].[All]" dimensionUniqueName="[calls]" displayFolder="" count="2" memberValueDatatype="20" unbalanced="0">
      <fieldsUsage count="2">
        <fieldUsage x="-1"/>
        <fieldUsage x="0"/>
      </fieldsUsage>
    </cacheHierarchy>
    <cacheHierarchy uniqueName="[calls].[Month Name]" caption="Month Name" attribute="1" defaultMemberUniqueName="[calls].[Month Name].[All]" allUniqueName="[calls].[Month Name].[All]" dimensionUniqueName="[calls]" displayFolder="" count="2"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fieldsUsage count="2">
        <fieldUsage x="-1"/>
        <fieldUsage x="7"/>
      </fieldsUsage>
    </cacheHierarchy>
    <cacheHierarchy uniqueName="[Measures].[Count of Calls]" caption="Count of Calls" measure="1" displayFolder="" measureGroup="calls" count="0" oneField="1">
      <fieldsUsage count="1">
        <fieldUsage x="1"/>
      </fieldsUsage>
    </cacheHierarchy>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oneField="1">
      <fieldsUsage count="1">
        <fieldUsage x="3"/>
      </fieldsUsage>
    </cacheHierarchy>
    <cacheHierarchy uniqueName="[Measures].[Zero Amount Calls]" caption="Zero Amount Calls" measure="1" displayFolder="" measureGroup="calls" count="0" oneField="1">
      <fieldsUsage count="1">
        <fieldUsage x="5"/>
      </fieldsUsage>
    </cacheHierarchy>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oneField="1" hidden="1">
      <fieldsUsage count="1">
        <fieldUsage x="4"/>
      </fieldsUsage>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4">
    <dimension name="calls" uniqueName="[calls]" caption="calls"/>
    <dimension name="custs" uniqueName="[custs]" caption="custs"/>
    <dimension measure="1" name="Measures" uniqueName="[Measures]" caption="Measures"/>
    <dimension name="reps" uniqueName="[reps]" caption="reps"/>
  </dimensions>
  <measureGroups count="3">
    <measureGroup name="calls" caption="calls"/>
    <measureGroup name="custs" caption="custs"/>
    <measureGroup name="reps" caption="reps"/>
  </measureGroups>
  <maps count="5">
    <map measureGroup="0" dimension="0"/>
    <map measureGroup="0" dimension="1"/>
    <map measureGroup="0" dimension="3"/>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ID" refreshedDate="44779.648062384258" backgroundQuery="1" createdVersion="3" refreshedVersion="8" minRefreshableVersion="3" recordCount="0" supportSubquery="1" supportAdvancedDrill="1" xr:uid="{C9FE86BB-BE7A-42EE-9356-D300CD8F8B90}">
  <cacheSource type="external" connectionId="5">
    <extLst>
      <ext xmlns:x14="http://schemas.microsoft.com/office/spreadsheetml/2009/9/main" uri="{F057638F-6D5F-4e77-A914-E7F072B9BCA8}">
        <x14:sourceConnection name="ThisWorkbookDataModel"/>
      </ext>
    </extLst>
  </cacheSource>
  <cacheFields count="0"/>
  <cacheHierarchies count="28">
    <cacheHierarchy uniqueName="[calls].[Customer ID]" caption="Customer ID" attribute="1" defaultMemberUniqueName="[calls].[Customer ID].[All]" allUniqueName="[calls].[Customer ID].[All]" dimensionUniqueName="[calls]" displayFolder="" count="0" memberValueDatatype="130" unbalanced="0"/>
    <cacheHierarchy uniqueName="[calls].[Duration]" caption="Duration" attribute="1" defaultMemberUniqueName="[calls].[Duration].[All]" allUniqueName="[calls].[Duration].[All]" dimensionUniqueName="[calls]" displayFolder="" count="0" memberValueDatatype="20" unbalanced="0"/>
    <cacheHierarchy uniqueName="[calls].[Purchase Amount]" caption="Purchase Amount" attribute="1" defaultMemberUniqueName="[calls].[Purchase Amount].[All]" allUniqueName="[calls].[Purchase Amount].[All]" dimensionUniqueName="[calls]" displayFolder="" count="0" memberValueDatatype="20" unbalanced="0"/>
    <cacheHierarchy uniqueName="[calls].[Representative]" caption="Representative" attribute="1" defaultMemberUniqueName="[calls].[Representative].[All]" allUniqueName="[calls].[Representative].[All]" dimensionUniqueName="[calls]" displayFolder="" count="0" memberValueDatatype="130" unbalanced="0"/>
    <cacheHierarchy uniqueName="[calls].[Date of Call]" caption="Date of Call" attribute="1" time="1" defaultMemberUniqueName="[calls].[Date of Call].[All]" allUniqueName="[calls].[Date of Call].[All]" dimensionUniqueName="[calls]" displayFolder="" count="0" memberValueDatatype="7" unbalanced="0"/>
    <cacheHierarchy uniqueName="[calls].[Year]" caption="Year" attribute="1" defaultMemberUniqueName="[calls].[Year].[All]" allUniqueName="[calls].[Year].[All]" dimensionUniqueName="[calls]" displayFolder="" count="2" memberValueDatatype="20" unbalanced="0"/>
    <cacheHierarchy uniqueName="[calls].[Month]" caption="Month" attribute="1" defaultMemberUniqueName="[calls].[Month].[All]" allUniqueName="[calls].[Month].[All]" dimensionUniqueName="[calls]" displayFolder="" count="0" memberValueDatatype="20" unbalanced="0"/>
    <cacheHierarchy uniqueName="[calls].[Month Name]" caption="Month Name" attribute="1" defaultMemberUniqueName="[calls].[Month Name].[All]" allUniqueName="[calls].[Month Name].[All]" dimensionUniqueName="[calls]" displayFolder="" count="0" memberValueDatatype="130" unbalanced="0"/>
    <cacheHierarchy uniqueName="[custs].[Customer]" caption="Customer" attribute="1" defaultMemberUniqueName="[custs].[Customer].[All]" allUniqueName="[custs].[Customer].[All]" dimensionUniqueName="[custs]" displayFolder="" count="0" memberValueDatatype="130" unbalanced="0"/>
    <cacheHierarchy uniqueName="[custs].[Gender]" caption="Gender" attribute="1" defaultMemberUniqueName="[custs].[Gender].[All]" allUniqueName="[custs].[Gender].[All]" dimensionUniqueName="[custs]" displayFolder="" count="0" memberValueDatatype="130" unbalanced="0"/>
    <cacheHierarchy uniqueName="[custs].[Age]" caption="Age" attribute="1" defaultMemberUniqueName="[custs].[Age].[All]" allUniqueName="[custs].[Age].[All]" dimensionUniqueName="[custs]" displayFolder="" count="0" memberValueDatatype="20" unbalanced="0"/>
    <cacheHierarchy uniqueName="[custs].[Education]" caption="Education" attribute="1" defaultMemberUniqueName="[custs].[Education].[All]" allUniqueName="[custs].[Education].[All]" dimensionUniqueName="[custs]" displayFolder="" count="0" memberValueDatatype="130" unbalanced="0"/>
    <cacheHierarchy uniqueName="[custs].[Age Grouping]" caption="Age Grouping" attribute="1" defaultMemberUniqueName="[custs].[Age Grouping].[All]" allUniqueName="[custs].[Age Grouping].[All]" dimensionUniqueName="[custs]" displayFolder="" count="0" memberValueDatatype="130" unbalanced="0"/>
    <cacheHierarchy uniqueName="[reps].[Rep]" caption="Rep" attribute="1" defaultMemberUniqueName="[reps].[Rep].[All]" allUniqueName="[reps].[Rep].[All]" dimensionUniqueName="[reps]" displayFolder="" count="0" memberValueDatatype="130" unbalanced="0"/>
    <cacheHierarchy uniqueName="[reps].[Department]" caption="Department" attribute="1" defaultMemberUniqueName="[reps].[Department].[All]" allUniqueName="[reps].[Department].[All]" dimensionUniqueName="[reps]" displayFolder="" count="0" memberValueDatatype="130" unbalanced="0"/>
    <cacheHierarchy uniqueName="[reps].[Manager]" caption="Manager" attribute="1" defaultMemberUniqueName="[reps].[Manager].[All]" allUniqueName="[reps].[Manager].[All]" dimensionUniqueName="[reps]" displayFolder="" count="2" memberValueDatatype="130" unbalanced="0"/>
    <cacheHierarchy uniqueName="[Measures].[Count of Calls]" caption="Count of Calls" measure="1" displayFolder="" measureGroup="calls" count="0"/>
    <cacheHierarchy uniqueName="[Measures].[Total Amount]" caption="Total Amount" measure="1" displayFolder="" measureGroup="calls" count="0"/>
    <cacheHierarchy uniqueName="[Measures].[Amount per call]" caption="Amount per call" measure="1" displayFolder="" measureGroup="calls" count="0"/>
    <cacheHierarchy uniqueName="[Measures].[Long Calls]" caption="Long Calls" measure="1" displayFolder="" measureGroup="calls" count="0"/>
    <cacheHierarchy uniqueName="[Measures].[Zero Amount Calls]" caption="Zero Amount Calls" measure="1" displayFolder="" measureGroup="calls" count="0"/>
    <cacheHierarchy uniqueName="[Measures].[__XL_Count calls]" caption="__XL_Count calls" measure="1" displayFolder="" measureGroup="calls" count="0" hidden="1"/>
    <cacheHierarchy uniqueName="[Measures].[__XL_Count custs]" caption="__XL_Count custs" measure="1" displayFolder="" measureGroup="custs" count="0" hidden="1"/>
    <cacheHierarchy uniqueName="[Measures].[__XL_Count reps]" caption="__XL_Count reps" measure="1" displayFolder="" measureGroup="reps" count="0" hidden="1"/>
    <cacheHierarchy uniqueName="[Measures].[__No measures defined]" caption="__No measures defined" measure="1" displayFolder="" count="0" hidden="1"/>
    <cacheHierarchy uniqueName="[Measures].[Count of Customer ID]" caption="Count of Customer ID" measure="1" displayFolder="" measureGroup="calls" count="0" hidden="1">
      <extLst>
        <ext xmlns:x15="http://schemas.microsoft.com/office/spreadsheetml/2010/11/main" uri="{B97F6D7D-B522-45F9-BDA1-12C45D357490}">
          <x15:cacheHierarchy aggregatedColumn="0"/>
        </ext>
      </extLst>
    </cacheHierarchy>
    <cacheHierarchy uniqueName="[Measures].[Sum of Purchase Amount]" caption="Sum of Purchase Amount" measure="1" displayFolder="" measureGroup="calls" count="0" hidden="1">
      <extLst>
        <ext xmlns:x15="http://schemas.microsoft.com/office/spreadsheetml/2010/11/main" uri="{B97F6D7D-B522-45F9-BDA1-12C45D357490}">
          <x15:cacheHierarchy aggregatedColumn="2"/>
        </ext>
      </extLst>
    </cacheHierarchy>
    <cacheHierarchy uniqueName="[Measures].[Sum of Duration]" caption="Sum of Duration" measure="1" displayFolder="" measureGroup="call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2121184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AA725-6C4A-4245-9AE6-B330B6B8A31A}" name="PivotTable8" cacheId="79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42:K56" firstHeaderRow="1" firstDataRow="3" firstDataCol="1"/>
  <pivotFields count="8">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2">
    <field x="6"/>
    <field x="-2"/>
  </colFields>
  <colItems count="10">
    <i>
      <x/>
      <x/>
    </i>
    <i r="1" i="1">
      <x v="1"/>
    </i>
    <i r="1" i="2">
      <x v="2"/>
    </i>
    <i r="1" i="3">
      <x v="3"/>
    </i>
    <i r="1" i="4">
      <x v="4"/>
    </i>
    <i>
      <x v="1"/>
      <x/>
    </i>
    <i r="1" i="1">
      <x v="1"/>
    </i>
    <i r="1" i="2">
      <x v="2"/>
    </i>
    <i r="1" i="3">
      <x v="3"/>
    </i>
    <i r="1" i="4">
      <x v="4"/>
    </i>
  </colItems>
  <dataFields count="5">
    <dataField fld="1" subtotal="count" baseField="0" baseItem="0"/>
    <dataField name="Sum of Duration" fld="2" baseField="0" baseItem="0"/>
    <dataField fld="3" subtotal="count" baseField="0" baseItem="0"/>
    <dataField name="Sum of Purchase Amount" fld="4" baseField="0" baseItem="0"/>
    <dataField fld="5" subtotal="count" baseField="0"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Bob]"/>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2">
    <colHierarchyUsage hierarchyUsage="5"/>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re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BF1A-8860-4E10-A306-5AFC00778D12}" name="PivotTable7" cacheId="790"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A30:E39" firstHeaderRow="1" firstDataRow="2" firstDataCol="2"/>
  <pivotFields count="6">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2"/>
    <field x="-2"/>
  </rowFields>
  <rowItems count="8">
    <i>
      <x/>
      <x/>
    </i>
    <i r="1" i="1">
      <x v="1"/>
    </i>
    <i>
      <x v="1"/>
      <x/>
    </i>
    <i r="1" i="1">
      <x v="1"/>
    </i>
    <i>
      <x v="2"/>
      <x/>
    </i>
    <i r="1" i="1">
      <x v="1"/>
    </i>
    <i>
      <x v="3"/>
      <x/>
    </i>
    <i r="1" i="1">
      <x v="1"/>
    </i>
  </rowItems>
  <colFields count="1">
    <field x="3"/>
  </colFields>
  <colItems count="3">
    <i>
      <x/>
    </i>
    <i>
      <x v="1"/>
    </i>
    <i>
      <x v="2"/>
    </i>
  </colItems>
  <dataFields count="2">
    <dataField fld="0" subtotal="count" baseField="0" baseItem="0"/>
    <dataField fld="1" subtotal="count" baseField="0" baseItem="0"/>
  </dataFields>
  <pivotHierarchies count="28">
    <pivotHierarchy dragToData="1"/>
    <pivotHierarchy dragToData="1"/>
    <pivotHierarchy dragToData="1"/>
    <pivotHierarchy dragToData="1"/>
    <pivotHierarchy dragToData="1"/>
    <pivotHierarchy multipleItemSelectionAllowed="1" dragToData="1">
      <members count="1" level="1">
        <member name="[calls].[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Bob]"/>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F7B5E9-3EC7-44A8-880E-8CCA314B061F}" name="PivotTable6" cacheId="7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13:J1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pivotHierarchies count="28">
    <pivotHierarchy dragToData="1"/>
    <pivotHierarchy dragToData="1"/>
    <pivotHierarchy dragToData="1"/>
    <pivotHierarchy dragToData="1"/>
    <pivotHierarchy dragToData="1"/>
    <pivotHierarchy multipleItemSelectionAllowed="1" dragToData="1">
      <members count="1" level="1">
        <member name="[calls].[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Bob]"/>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p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8DB460-A9CD-4485-82F9-4E9AAB3A3209}" name="PivotTable5" cacheId="7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3:E18" firstHeaderRow="1" firstDataRow="2" firstDataCol="1"/>
  <pivotFields count="5">
    <pivotField axis="axisRow" allDrilled="1" subtotalTop="0" showAll="0" sortType="descending" defaultSubtotal="0" defaultAttributeDrillState="1">
      <items count="7">
        <item x="6"/>
        <item x="5"/>
        <item x="4"/>
        <item x="3"/>
        <item x="2"/>
        <item x="1"/>
        <item x="0"/>
      </items>
    </pivotField>
    <pivotField dataField="1" subtotalTop="0" showAll="0" defaultSubtotal="0"/>
    <pivotField axis="axisCol" allDrilled="1" subtotalTop="0" showAll="0" defaultSubtotal="0" defaultAttributeDrillState="1">
      <items count="3">
        <item x="2"/>
        <item x="1"/>
        <item x="0"/>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v="4"/>
    </i>
    <i>
      <x v="5"/>
    </i>
    <i>
      <x v="6"/>
    </i>
    <i t="grand">
      <x/>
    </i>
  </rowItems>
  <colFields count="1">
    <field x="2"/>
  </colFields>
  <colItems count="4">
    <i>
      <x/>
    </i>
    <i>
      <x v="1"/>
    </i>
    <i>
      <x v="2"/>
    </i>
    <i t="grand">
      <x/>
    </i>
  </colItems>
  <dataFields count="1">
    <dataField fld="1" subtotal="count" baseField="0" baseItem="0"/>
  </dataFields>
  <chartFormats count="7">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3"/>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1"/>
          </reference>
        </references>
      </pivotArea>
    </chartFormat>
  </chartFormats>
  <pivotHierarchies count="28">
    <pivotHierarchy dragToData="1"/>
    <pivotHierarchy dragToData="1"/>
    <pivotHierarchy dragToData="1"/>
    <pivotHierarchy dragToData="1"/>
    <pivotHierarchy dragToData="1"/>
    <pivotHierarchy multipleItemSelectionAllowed="1" dragToData="1">
      <members count="1" level="1">
        <member name="[calls].[Year].&amp;[201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Bob]"/>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ps]"/>
        <x15:activeTabTopLevelEntity name="[calls]"/>
        <x15:activeTabTopLevelEntity name="[cus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0E5DA7-4484-4BDB-BEED-15EED65BCF06}" name="PivotTable4" cacheId="572"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C9" firstHeaderRow="1" firstDataRow="2" firstDataCol="1"/>
  <pivotFields count="7">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5">
    <i>
      <x/>
    </i>
    <i i="1">
      <x v="1"/>
    </i>
    <i i="2">
      <x v="2"/>
    </i>
    <i i="3">
      <x v="3"/>
    </i>
    <i i="4">
      <x v="4"/>
    </i>
  </rowItems>
  <colFields count="1">
    <field x="0"/>
  </colFields>
  <colItems count="2">
    <i>
      <x/>
    </i>
    <i>
      <x v="1"/>
    </i>
  </colItems>
  <dataFields count="5">
    <dataField fld="1" subtotal="count" baseField="0" baseItem="0"/>
    <dataField name="Sum of Duration" fld="2" baseField="0" baseItem="0"/>
    <dataField fld="3" subtotal="count" baseField="0" baseItem="0"/>
    <dataField name="Sum of Purchase Amount" fld="4" baseField="0" baseItem="0"/>
    <dataField fld="5" subtotal="count" baseField="0" baseItem="0"/>
  </dataFields>
  <pivotHierarchies count="2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ps].[Manager].&amp;[Gina]"/>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7B93A2-3414-44F1-BA81-8E8DC63AC64C}" sourceName="[calls].[Year]">
  <pivotTables>
    <pivotTable tabId="8" name="PivotTable5"/>
    <pivotTable tabId="8" name="PivotTable6"/>
    <pivotTable tabId="8" name="PivotTable7"/>
  </pivotTables>
  <data>
    <olap pivotCacheId="2121184385">
      <levels count="2">
        <level uniqueName="[calls].[Year].[(All)]" sourceCaption="(All)" count="0"/>
        <level uniqueName="[calls].[Year].[Year]" sourceCaption="Year" count="2">
          <ranges>
            <range startItem="0">
              <i n="[calls].[Year].&amp;[2018]" c="2018"/>
              <i n="[calls].[Year].&amp;[2019]" c="2019"/>
            </range>
          </ranges>
        </level>
      </levels>
      <selections count="1">
        <selection n="[calls].[Year].&amp;[2019]"/>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F7B5376-DA8C-4391-893B-CE7EC03DA93F}" sourceName="[reps].[Manager]">
  <pivotTables>
    <pivotTable tabId="8" name="PivotTable6"/>
    <pivotTable tabId="8" name="PivotTable5"/>
    <pivotTable tabId="8" name="PivotTable7"/>
    <pivotTable tabId="8" name="PivotTable8"/>
  </pivotTables>
  <data>
    <olap pivotCacheId="2121184385">
      <levels count="2">
        <level uniqueName="[reps].[Manager].[(All)]" sourceCaption="(All)" count="0"/>
        <level uniqueName="[reps].[Manager].[Manager]" sourceCaption="Manager" count="2">
          <ranges>
            <range startItem="0">
              <i n="[reps].[Manager].&amp;[Bob]" c="Bob"/>
              <i n="[reps].[Manager].&amp;[Gina]" c="Gina"/>
            </range>
          </ranges>
        </level>
      </levels>
      <selections count="1">
        <selection n="[reps].[Manager].&amp;[Bob]"/>
      </selections>
    </olap>
  </data>
  <extLst>
    <x:ext xmlns:x15="http://schemas.microsoft.com/office/spreadsheetml/2010/11/main" uri="{470722E0-AACD-4C17-9CDC-17EF765DBC7E}">
      <x15:slicerCacheHideItemsWithNoData count="1">
        <x15:slicerCacheOlapLevelName uniqueName="[reps].[Manager].[Manag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CE3B78C3-4553-4415-A914-25F368205CB9}" cache="Slicer_Manager" caption="Manager" columnCount="2" showCaption="0" level="1" style="SlicerStyleDark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A8083A9-9A50-432A-9DE5-64880402D4C7}"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45E680-FC7D-47C9-8088-FF99F6F5E882}" name="Table2" displayName="Table2" ref="N44:P56" totalsRowShown="0">
  <autoFilter ref="N44:P56" xr:uid="{8845E680-FC7D-47C9-8088-FF99F6F5E882}"/>
  <tableColumns count="3">
    <tableColumn id="1" xr3:uid="{9D4B58DC-F3D5-4F8A-BC0A-E66FDC055CDC}" name="Month"/>
    <tableColumn id="2" xr3:uid="{51BF5CD0-3A1C-4D8C-8642-9211D4E97618}" name="2018">
      <calculatedColumnFormula>INDEX($B45:$F45,$P$42)</calculatedColumnFormula>
    </tableColumn>
    <tableColumn id="3" xr3:uid="{63A7C726-999E-4B7C-A63F-EE7BCA64FDE1}" name="2019">
      <calculatedColumnFormula>INDEX($G45:$K45,$P$42)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A615C-B715-4BE2-A223-7F19E688E5A3}">
  <dimension ref="B2:X42"/>
  <sheetViews>
    <sheetView showGridLines="0" tabSelected="1" zoomScale="80" zoomScaleNormal="80" workbookViewId="0">
      <selection activeCell="V10" sqref="V10"/>
    </sheetView>
  </sheetViews>
  <sheetFormatPr defaultRowHeight="16.5" x14ac:dyDescent="0.3"/>
  <cols>
    <col min="1" max="1" width="1.85546875" style="9" customWidth="1"/>
    <col min="2" max="2" width="2.5703125" style="9" customWidth="1"/>
    <col min="3" max="4" width="10.28515625" style="9" customWidth="1"/>
    <col min="5" max="5" width="2.5703125" style="9" customWidth="1"/>
    <col min="6" max="6" width="2.7109375" style="9" customWidth="1"/>
    <col min="7" max="7" width="4.140625" style="9" customWidth="1"/>
    <col min="8" max="8" width="9.140625" style="9"/>
    <col min="9" max="9" width="4" style="9" customWidth="1"/>
    <col min="10" max="10" width="9.140625" style="9"/>
    <col min="11" max="11" width="1.7109375" style="9" customWidth="1"/>
    <col min="12" max="12" width="9.140625" style="9"/>
    <col min="13" max="13" width="1.7109375" style="9" customWidth="1"/>
    <col min="14" max="14" width="9.140625" style="9"/>
    <col min="15" max="15" width="1.42578125" style="9" customWidth="1"/>
    <col min="16" max="16" width="1.5703125" style="9" customWidth="1"/>
    <col min="17" max="19" width="13" style="9" customWidth="1"/>
    <col min="20" max="20" width="4.7109375" style="9" customWidth="1"/>
    <col min="21" max="16384" width="9.140625" style="9"/>
  </cols>
  <sheetData>
    <row r="2" spans="2:24" ht="37.5" x14ac:dyDescent="0.3">
      <c r="B2" s="17" t="s">
        <v>37</v>
      </c>
      <c r="C2" s="18"/>
      <c r="D2" s="18"/>
      <c r="E2" s="18"/>
      <c r="F2" s="18"/>
      <c r="G2" s="18"/>
      <c r="H2" s="18"/>
      <c r="I2" s="18"/>
      <c r="J2" s="18"/>
      <c r="K2" s="18"/>
      <c r="L2" s="18"/>
      <c r="M2" s="18"/>
      <c r="N2" s="18"/>
      <c r="O2" s="18"/>
      <c r="P2" s="18"/>
      <c r="Q2" s="18"/>
      <c r="R2" s="18"/>
      <c r="S2" s="18"/>
      <c r="T2" s="18"/>
    </row>
    <row r="3" spans="2:24" ht="9" customHeight="1" x14ac:dyDescent="0.3">
      <c r="B3" s="8"/>
    </row>
    <row r="4" spans="2:24" x14ac:dyDescent="0.3">
      <c r="B4" s="10"/>
      <c r="C4" s="10"/>
      <c r="D4" s="10"/>
      <c r="E4" s="10"/>
      <c r="G4" s="24"/>
      <c r="H4" s="24"/>
      <c r="I4" s="24"/>
      <c r="J4" s="24"/>
      <c r="K4" s="24"/>
      <c r="L4" s="24"/>
      <c r="M4" s="24"/>
      <c r="N4" s="24"/>
      <c r="O4" s="24"/>
      <c r="P4" s="24"/>
      <c r="Q4" s="24"/>
      <c r="R4" s="24"/>
      <c r="S4" s="24"/>
      <c r="T4" s="24"/>
    </row>
    <row r="5" spans="2:24" ht="25.5" x14ac:dyDescent="0.5">
      <c r="B5" s="11"/>
      <c r="C5" s="14" t="s">
        <v>36</v>
      </c>
      <c r="D5" s="14"/>
      <c r="E5" s="11"/>
      <c r="G5" s="24"/>
      <c r="H5" s="25" t="s">
        <v>42</v>
      </c>
      <c r="I5" s="24"/>
      <c r="J5" s="24"/>
      <c r="K5" s="24"/>
      <c r="L5" s="24"/>
      <c r="M5" s="24"/>
      <c r="N5" s="24"/>
      <c r="O5" s="24"/>
      <c r="P5" s="24"/>
      <c r="Q5" s="24"/>
      <c r="R5" s="24"/>
      <c r="S5" s="24"/>
      <c r="T5" s="24"/>
    </row>
    <row r="6" spans="2:24" ht="16.5" customHeight="1" x14ac:dyDescent="0.3">
      <c r="B6" s="11"/>
      <c r="C6" s="20">
        <f>GETPIVOTDATA("[Measures].[Count of Calls]",'Pivots for Dashboard'!$A$3,"[calls].[Year]","[calls].[Year].&amp;[2019]")</f>
        <v>4618</v>
      </c>
      <c r="D6" s="20"/>
      <c r="E6" s="11"/>
      <c r="G6" s="24"/>
      <c r="H6" s="27"/>
      <c r="I6" s="27"/>
      <c r="J6" s="27"/>
      <c r="K6" s="27"/>
      <c r="L6" s="27"/>
      <c r="M6" s="27"/>
      <c r="N6" s="27"/>
      <c r="O6" s="27"/>
      <c r="P6" s="27"/>
      <c r="Q6" s="27"/>
      <c r="R6" s="27"/>
      <c r="S6" s="27"/>
      <c r="T6" s="24"/>
    </row>
    <row r="7" spans="2:24" ht="16.5" customHeight="1" x14ac:dyDescent="0.3">
      <c r="B7" s="11"/>
      <c r="C7" s="20"/>
      <c r="D7" s="20"/>
      <c r="E7" s="11"/>
      <c r="G7" s="24"/>
      <c r="H7" s="31" t="s">
        <v>43</v>
      </c>
      <c r="I7" s="31"/>
      <c r="J7" s="31"/>
      <c r="K7" s="31"/>
      <c r="L7" s="28"/>
      <c r="M7" s="28"/>
      <c r="N7" s="28"/>
      <c r="O7" s="28"/>
      <c r="P7" s="29"/>
      <c r="Q7" s="29"/>
      <c r="R7" s="29"/>
      <c r="S7" s="29"/>
      <c r="T7" s="24"/>
    </row>
    <row r="8" spans="2:24" x14ac:dyDescent="0.3">
      <c r="B8" s="11"/>
      <c r="C8" s="21">
        <f>GETPIVOTDATA("[Measures].[Count of Calls]",'Pivots for Dashboard'!$A$3,"[calls].[Year]","[calls].[Year].&amp;[2018]")</f>
        <v>3379</v>
      </c>
      <c r="D8" s="15">
        <f>'Pivots for Dashboard'!$E$5</f>
        <v>0.36667653151820057</v>
      </c>
      <c r="E8" s="11"/>
      <c r="G8" s="24"/>
      <c r="H8" s="32"/>
      <c r="I8" s="32"/>
      <c r="J8" s="32"/>
      <c r="K8" s="32"/>
      <c r="L8" s="30"/>
      <c r="M8" s="30"/>
      <c r="N8" s="30"/>
      <c r="O8" s="30"/>
      <c r="P8" s="29"/>
      <c r="Q8" s="29"/>
      <c r="R8" s="29"/>
      <c r="S8" s="29"/>
      <c r="T8" s="24"/>
    </row>
    <row r="9" spans="2:24" x14ac:dyDescent="0.3">
      <c r="B9" s="11"/>
      <c r="C9" s="12"/>
      <c r="D9" s="13"/>
      <c r="E9" s="11"/>
      <c r="G9" s="24"/>
      <c r="H9" s="24"/>
      <c r="I9" s="24"/>
      <c r="J9" s="24"/>
      <c r="K9" s="24"/>
      <c r="L9" s="24"/>
      <c r="M9" s="24"/>
      <c r="N9" s="24"/>
      <c r="O9" s="24"/>
      <c r="P9" s="24"/>
      <c r="Q9" s="24"/>
      <c r="R9" s="24"/>
      <c r="S9" s="24"/>
      <c r="T9" s="24"/>
    </row>
    <row r="10" spans="2:24" x14ac:dyDescent="0.3">
      <c r="B10" s="11"/>
      <c r="C10" s="14" t="s">
        <v>38</v>
      </c>
      <c r="D10" s="14"/>
      <c r="E10" s="11"/>
      <c r="G10" s="24"/>
      <c r="H10" s="24"/>
      <c r="I10" s="24"/>
      <c r="J10" s="24"/>
      <c r="K10" s="24"/>
      <c r="L10" s="24"/>
      <c r="M10" s="24"/>
      <c r="N10" s="24"/>
      <c r="O10" s="24"/>
      <c r="P10" s="24"/>
      <c r="Q10" s="24"/>
      <c r="R10" s="24"/>
      <c r="S10" s="24"/>
      <c r="T10" s="24"/>
    </row>
    <row r="11" spans="2:24" ht="16.5" customHeight="1" x14ac:dyDescent="0.3">
      <c r="B11" s="11"/>
      <c r="C11" s="20">
        <f>GETPIVOTDATA("[Measures].[Sum of Duration]",'Pivots for Dashboard'!$A$3,"[calls].[Year]","[calls].[Year].&amp;[2019]")</f>
        <v>551794</v>
      </c>
      <c r="D11" s="20"/>
      <c r="E11" s="11"/>
      <c r="G11" s="24"/>
      <c r="H11" s="24"/>
      <c r="I11" s="24"/>
      <c r="J11" s="24"/>
      <c r="K11" s="24"/>
      <c r="L11" s="24"/>
      <c r="M11" s="24"/>
      <c r="N11" s="24"/>
      <c r="O11" s="24"/>
      <c r="P11" s="24"/>
      <c r="Q11" s="24"/>
      <c r="R11" s="24"/>
      <c r="S11" s="24"/>
      <c r="T11" s="24"/>
    </row>
    <row r="12" spans="2:24" ht="16.5" customHeight="1" x14ac:dyDescent="0.3">
      <c r="B12" s="11"/>
      <c r="C12" s="20"/>
      <c r="D12" s="20"/>
      <c r="E12" s="11"/>
      <c r="G12" s="24"/>
      <c r="H12" s="24"/>
      <c r="I12" s="24"/>
      <c r="J12" s="24"/>
      <c r="K12" s="24"/>
      <c r="L12" s="24"/>
      <c r="M12" s="24"/>
      <c r="N12" s="24"/>
      <c r="O12" s="24"/>
      <c r="P12" s="24"/>
      <c r="Q12" s="24"/>
      <c r="R12" s="24"/>
      <c r="S12" s="24"/>
      <c r="T12" s="24"/>
    </row>
    <row r="13" spans="2:24" x14ac:dyDescent="0.3">
      <c r="B13" s="11"/>
      <c r="C13" s="21">
        <f>GETPIVOTDATA("[Measures].[Sum of Duration]",'Pivots for Dashboard'!$A$3,"[calls].[Year]","[calls].[Year].&amp;[2018]")</f>
        <v>304371</v>
      </c>
      <c r="D13" s="16">
        <f>'Pivots for Dashboard'!$E$6</f>
        <v>0.81289938923221983</v>
      </c>
      <c r="E13" s="11"/>
      <c r="G13" s="24"/>
      <c r="H13" s="24"/>
      <c r="I13" s="24"/>
      <c r="J13" s="24"/>
      <c r="K13" s="24"/>
      <c r="L13" s="24"/>
      <c r="M13" s="24"/>
      <c r="N13" s="24"/>
      <c r="O13" s="24"/>
      <c r="P13" s="24"/>
      <c r="Q13" s="24"/>
      <c r="R13" s="24"/>
      <c r="S13" s="24"/>
      <c r="T13" s="24"/>
    </row>
    <row r="14" spans="2:24" x14ac:dyDescent="0.3">
      <c r="B14" s="11"/>
      <c r="C14" s="11"/>
      <c r="D14" s="11"/>
      <c r="E14" s="11"/>
      <c r="G14" s="24"/>
      <c r="H14" s="24"/>
      <c r="I14" s="24"/>
      <c r="J14" s="24"/>
      <c r="K14" s="24"/>
      <c r="L14" s="24"/>
      <c r="M14" s="24"/>
      <c r="N14" s="24"/>
      <c r="O14" s="24"/>
      <c r="P14" s="24"/>
      <c r="Q14" s="24"/>
      <c r="R14" s="24"/>
      <c r="S14" s="24"/>
      <c r="T14" s="24"/>
    </row>
    <row r="15" spans="2:24" x14ac:dyDescent="0.3">
      <c r="B15" s="11"/>
      <c r="C15" s="14" t="s">
        <v>39</v>
      </c>
      <c r="D15" s="14"/>
      <c r="E15" s="11"/>
      <c r="G15" s="24"/>
      <c r="H15" s="24"/>
      <c r="I15" s="24"/>
      <c r="J15" s="24"/>
      <c r="K15" s="24"/>
      <c r="L15" s="24"/>
      <c r="M15" s="24"/>
      <c r="N15" s="24"/>
      <c r="O15" s="24"/>
      <c r="P15" s="24"/>
      <c r="Q15" s="24"/>
      <c r="R15" s="24"/>
      <c r="S15" s="24"/>
      <c r="T15" s="24"/>
    </row>
    <row r="16" spans="2:24" x14ac:dyDescent="0.3">
      <c r="B16" s="11"/>
      <c r="C16" s="20">
        <f>GETPIVOTDATA("[Measures].[Long Calls]",'Pivots for Dashboard'!$A$3,"[calls].[Year]","[calls].[Year].&amp;[2019]")</f>
        <v>3540</v>
      </c>
      <c r="D16" s="20"/>
      <c r="E16" s="11"/>
      <c r="G16" s="24"/>
      <c r="H16" s="24"/>
      <c r="I16" s="24"/>
      <c r="J16" s="24"/>
      <c r="K16" s="24"/>
      <c r="L16" s="24"/>
      <c r="M16" s="24"/>
      <c r="N16" s="24"/>
      <c r="O16" s="24"/>
      <c r="P16" s="24"/>
      <c r="Q16" s="24"/>
      <c r="R16" s="24"/>
      <c r="S16" s="24"/>
      <c r="T16" s="24"/>
      <c r="U16" s="42"/>
      <c r="V16" s="42"/>
      <c r="W16" s="42"/>
      <c r="X16" s="42"/>
    </row>
    <row r="17" spans="2:24" ht="16.5" customHeight="1" x14ac:dyDescent="0.3">
      <c r="B17" s="11"/>
      <c r="C17" s="20"/>
      <c r="D17" s="20"/>
      <c r="E17" s="11"/>
      <c r="G17" s="24"/>
      <c r="H17" s="43"/>
      <c r="I17" s="43"/>
      <c r="J17" s="43"/>
      <c r="K17" s="43"/>
      <c r="L17" s="43"/>
      <c r="M17" s="43"/>
      <c r="N17" s="43"/>
      <c r="O17" s="26"/>
      <c r="P17" s="26"/>
      <c r="Q17" s="45"/>
      <c r="R17" s="45"/>
      <c r="S17" s="45"/>
      <c r="T17" s="43"/>
      <c r="U17" s="41"/>
      <c r="V17" s="41"/>
      <c r="W17" s="41"/>
      <c r="X17" s="42"/>
    </row>
    <row r="18" spans="2:24" ht="16.5" customHeight="1" x14ac:dyDescent="0.3">
      <c r="B18" s="11"/>
      <c r="C18" s="21">
        <f>GETPIVOTDATA("[Measures].[Long Calls]",'Pivots for Dashboard'!$A$3,"[calls].[Year]","[calls].[Year].&amp;[2018]")</f>
        <v>1675</v>
      </c>
      <c r="D18" s="16">
        <f>'Pivots for Dashboard'!$E$7</f>
        <v>1.1134328358208956</v>
      </c>
      <c r="E18" s="11"/>
      <c r="G18" s="24"/>
      <c r="H18" s="38" t="s">
        <v>44</v>
      </c>
      <c r="I18" s="39"/>
      <c r="J18" s="39"/>
      <c r="K18" s="39"/>
      <c r="L18" s="39"/>
      <c r="M18" s="39"/>
      <c r="N18" s="39"/>
      <c r="O18" s="24"/>
      <c r="P18" s="37"/>
      <c r="Q18" s="38" t="s">
        <v>45</v>
      </c>
      <c r="R18" s="39"/>
      <c r="S18" s="39"/>
      <c r="T18" s="44"/>
      <c r="U18" s="41"/>
      <c r="V18" s="41"/>
      <c r="W18" s="41"/>
      <c r="X18" s="42"/>
    </row>
    <row r="19" spans="2:24" x14ac:dyDescent="0.3">
      <c r="B19" s="11"/>
      <c r="C19" s="11"/>
      <c r="D19" s="11"/>
      <c r="E19" s="11"/>
      <c r="G19" s="24"/>
      <c r="H19" s="33" t="str">
        <f>'Pivots for Dashboard'!A31</f>
        <v>Education</v>
      </c>
      <c r="I19" s="33"/>
      <c r="J19" s="33" t="str">
        <f>'Pivots for Dashboard'!C31</f>
        <v>Female</v>
      </c>
      <c r="K19" s="33"/>
      <c r="L19" s="33" t="str">
        <f>'Pivots for Dashboard'!D31</f>
        <v>Male</v>
      </c>
      <c r="M19" s="33"/>
      <c r="N19" s="33" t="str">
        <f>'Pivots for Dashboard'!E31</f>
        <v>Unknown</v>
      </c>
      <c r="O19" s="24"/>
      <c r="P19" s="37"/>
      <c r="Q19" s="24"/>
      <c r="R19" s="24"/>
      <c r="S19" s="24"/>
      <c r="T19" s="24"/>
      <c r="U19" s="42"/>
      <c r="V19" s="42"/>
      <c r="W19" s="42"/>
      <c r="X19" s="42"/>
    </row>
    <row r="20" spans="2:24" x14ac:dyDescent="0.3">
      <c r="B20" s="11"/>
      <c r="C20" s="14" t="s">
        <v>40</v>
      </c>
      <c r="D20" s="14"/>
      <c r="E20" s="11"/>
      <c r="G20" s="24"/>
      <c r="H20" s="33" t="str">
        <f>'Pivots for Dashboard'!A32</f>
        <v>Graduate</v>
      </c>
      <c r="I20" s="33"/>
      <c r="J20" s="35">
        <f>GETPIVOTDATA("[Measures].[Count of Calls]",'Pivots for Dashboard'!$A$30,"[custs].[Education]","[custs].[Education].&amp;[Graduate]","[custs].[Gender]","[custs].[Gender].&amp;[Female]")</f>
        <v>257</v>
      </c>
      <c r="K20" s="35"/>
      <c r="L20" s="35">
        <f>GETPIVOTDATA("[Measures].[Count of Calls]",'Pivots for Dashboard'!$A$30,"[custs].[Education]","[custs].[Education].&amp;[Graduate]","[custs].[Gender]","[custs].[Gender].&amp;[Male]")</f>
        <v>224</v>
      </c>
      <c r="M20" s="35"/>
      <c r="N20" s="35">
        <f>GETPIVOTDATA("[Measures].[Count of Calls]",'Pivots for Dashboard'!$A$30,"[custs].[Education]","[custs].[Education].&amp;[Graduate]","[custs].[Gender]","[custs].[Gender].&amp;[Unknown]")</f>
        <v>95</v>
      </c>
      <c r="O20" s="24"/>
      <c r="P20" s="37"/>
      <c r="Q20" s="24"/>
      <c r="R20" s="24"/>
      <c r="S20" s="24"/>
      <c r="T20" s="24"/>
      <c r="U20" s="40"/>
      <c r="V20" s="40"/>
      <c r="W20" s="40"/>
      <c r="X20" s="40"/>
    </row>
    <row r="21" spans="2:24" x14ac:dyDescent="0.3">
      <c r="B21" s="11"/>
      <c r="C21" s="19">
        <f>GETPIVOTDATA("[Measures].[Sum of Purchase Amount]",'Pivots for Dashboard'!$A$3,"[calls].[Year]","[calls].[Year].&amp;[2019]")</f>
        <v>640035</v>
      </c>
      <c r="D21" s="19"/>
      <c r="E21" s="11"/>
      <c r="G21" s="24"/>
      <c r="H21" s="33"/>
      <c r="I21" s="33"/>
      <c r="J21" s="36">
        <f>GETPIVOTDATA("[Measures].[Long Calls]",'Pivots for Dashboard'!$A$30,"[custs].[Education]","[custs].[Education].&amp;[Graduate]","[custs].[Gender]","[custs].[Gender].&amp;[Female]")/J20</f>
        <v>0.7665369649805448</v>
      </c>
      <c r="K21" s="36"/>
      <c r="L21" s="36">
        <f>GETPIVOTDATA("[Measures].[Long Calls]",'Pivots for Dashboard'!$A$30,"[custs].[Education]","[custs].[Education].&amp;[Graduate]","[custs].[Gender]","[custs].[Gender].&amp;[Male]")/L20</f>
        <v>0.7901785714285714</v>
      </c>
      <c r="M21" s="36"/>
      <c r="N21" s="36">
        <f>GETPIVOTDATA("[Measures].[Long Calls]",'Pivots for Dashboard'!$A$30,"[custs].[Education]","[custs].[Education].&amp;[Graduate]","[custs].[Gender]","[custs].[Gender].&amp;[Unknown]")/N20</f>
        <v>0.72631578947368425</v>
      </c>
      <c r="O21" s="24"/>
      <c r="P21" s="37"/>
      <c r="Q21" s="24"/>
      <c r="R21" s="24"/>
      <c r="S21" s="24"/>
      <c r="T21" s="24"/>
      <c r="U21" s="40"/>
      <c r="V21" s="40"/>
      <c r="W21" s="40"/>
      <c r="X21" s="40"/>
    </row>
    <row r="22" spans="2:24" x14ac:dyDescent="0.3">
      <c r="B22" s="11"/>
      <c r="C22" s="19"/>
      <c r="D22" s="19"/>
      <c r="E22" s="11"/>
      <c r="G22" s="24"/>
      <c r="H22" s="33" t="str">
        <f>'Pivots for Dashboard'!A34</f>
        <v>High School</v>
      </c>
      <c r="I22" s="33"/>
      <c r="J22" s="35">
        <f>GETPIVOTDATA("[Measures].[Count of Calls]",'Pivots for Dashboard'!$A$30,"[custs].[Education]","[custs].[Education].&amp;[High School]","[custs].[Gender]","[custs].[Gender].&amp;[Female]")</f>
        <v>124</v>
      </c>
      <c r="K22" s="35"/>
      <c r="L22" s="35">
        <f>GETPIVOTDATA("[Measures].[Count of Calls]",'Pivots for Dashboard'!$A$30,"[custs].[Education]","[custs].[Education].&amp;[High School]","[custs].[Gender]","[custs].[Gender].&amp;[Male]")</f>
        <v>174</v>
      </c>
      <c r="M22" s="35"/>
      <c r="N22" s="35">
        <f>GETPIVOTDATA("[Measures].[Count of Calls]",'Pivots for Dashboard'!$A$30,"[custs].[Education]","[custs].[Education].&amp;[High School]","[custs].[Gender]","[custs].[Gender].&amp;[Unknown]")</f>
        <v>43</v>
      </c>
      <c r="O22" s="24"/>
      <c r="P22" s="37"/>
      <c r="Q22" s="24"/>
      <c r="R22" s="24"/>
      <c r="S22" s="24"/>
      <c r="T22" s="24"/>
    </row>
    <row r="23" spans="2:24" x14ac:dyDescent="0.3">
      <c r="B23" s="11"/>
      <c r="C23" s="22">
        <f>GETPIVOTDATA("[Measures].[Sum of Purchase Amount]",'Pivots for Dashboard'!$A$3,"[calls].[Year]","[calls].[Year].&amp;[2018]")</f>
        <v>341150</v>
      </c>
      <c r="D23" s="16">
        <f>'Pivots for Dashboard'!$E$8</f>
        <v>0.87611021544775025</v>
      </c>
      <c r="E23" s="11"/>
      <c r="G23" s="24"/>
      <c r="H23" s="33"/>
      <c r="I23" s="33"/>
      <c r="J23" s="36">
        <f>GETPIVOTDATA("[Measures].[Long Calls]",'Pivots for Dashboard'!$A$30,"[custs].[Education]","[custs].[Education].&amp;[High School]","[custs].[Gender]","[custs].[Gender].&amp;[Female]")/J22</f>
        <v>0.782258064516129</v>
      </c>
      <c r="K23" s="36"/>
      <c r="L23" s="36">
        <f>GETPIVOTDATA("[Measures].[Long Calls]",'Pivots for Dashboard'!$A$30,"[custs].[Education]","[custs].[Education].&amp;[High School]","[custs].[Gender]","[custs].[Gender].&amp;[Male]")/L22</f>
        <v>0.7931034482758621</v>
      </c>
      <c r="M23" s="36"/>
      <c r="N23" s="36">
        <f>GETPIVOTDATA("[Measures].[Long Calls]",'Pivots for Dashboard'!$A$30,"[custs].[Education]","[custs].[Education].&amp;[High School]","[custs].[Gender]","[custs].[Gender].&amp;[Unknown]")/N22</f>
        <v>0.81395348837209303</v>
      </c>
      <c r="O23" s="24"/>
      <c r="P23" s="37"/>
      <c r="Q23" s="24"/>
      <c r="R23" s="24"/>
      <c r="S23" s="24"/>
      <c r="T23" s="24"/>
    </row>
    <row r="24" spans="2:24" x14ac:dyDescent="0.3">
      <c r="B24" s="11"/>
      <c r="C24" s="11"/>
      <c r="D24" s="11"/>
      <c r="E24" s="11"/>
      <c r="G24" s="24"/>
      <c r="H24" s="33" t="str">
        <f>'Pivots for Dashboard'!A36</f>
        <v>PhD</v>
      </c>
      <c r="I24" s="33"/>
      <c r="J24" s="35">
        <f>GETPIVOTDATA("[Measures].[Count of Calls]",'Pivots for Dashboard'!$A$30,"[custs].[Education]","[custs].[Education].&amp;[PhD]","[custs].[Gender]","[custs].[Gender].&amp;[Female]")</f>
        <v>173</v>
      </c>
      <c r="K24" s="35"/>
      <c r="L24" s="35">
        <f>GETPIVOTDATA("[Measures].[Count of Calls]",'Pivots for Dashboard'!$A$30,"[custs].[Education]","[custs].[Education].&amp;[PhD]","[custs].[Gender]","[custs].[Gender].&amp;[Male]")</f>
        <v>176</v>
      </c>
      <c r="M24" s="35"/>
      <c r="N24" s="35">
        <f>GETPIVOTDATA("[Measures].[Count of Calls]",'Pivots for Dashboard'!$A$30,"[custs].[Education]","[custs].[Education].&amp;[PhD]","[custs].[Gender]","[custs].[Gender].&amp;[Unknown]")</f>
        <v>24</v>
      </c>
      <c r="O24" s="24"/>
      <c r="P24" s="37"/>
      <c r="Q24" s="24"/>
      <c r="R24" s="24"/>
      <c r="S24" s="24"/>
      <c r="T24" s="24"/>
    </row>
    <row r="25" spans="2:24" x14ac:dyDescent="0.3">
      <c r="B25" s="11"/>
      <c r="C25" s="14" t="s">
        <v>41</v>
      </c>
      <c r="D25" s="14"/>
      <c r="E25" s="11"/>
      <c r="G25" s="24"/>
      <c r="H25" s="33"/>
      <c r="I25" s="33"/>
      <c r="J25" s="36">
        <f>GETPIVOTDATA("[Measures].[Long Calls]",'Pivots for Dashboard'!$A$30,"[custs].[Education]","[custs].[Education].&amp;[PhD]","[custs].[Gender]","[custs].[Gender].&amp;[Female]")/J24</f>
        <v>0.73988439306358378</v>
      </c>
      <c r="K25" s="36"/>
      <c r="L25" s="36">
        <f>GETPIVOTDATA("[Measures].[Long Calls]",'Pivots for Dashboard'!$A$30,"[custs].[Education]","[custs].[Education].&amp;[PhD]","[custs].[Gender]","[custs].[Gender].&amp;[Male]")/L24</f>
        <v>0.70454545454545459</v>
      </c>
      <c r="M25" s="36"/>
      <c r="N25" s="36">
        <f>GETPIVOTDATA("[Measures].[Long Calls]",'Pivots for Dashboard'!$A$30,"[custs].[Education]","[custs].[Education].&amp;[PhD]","[custs].[Gender]","[custs].[Gender].&amp;[Unknown]")/N24</f>
        <v>0.75</v>
      </c>
      <c r="O25" s="24"/>
      <c r="P25" s="37"/>
      <c r="Q25" s="24"/>
      <c r="R25" s="24"/>
      <c r="S25" s="24"/>
      <c r="T25" s="24"/>
    </row>
    <row r="26" spans="2:24" x14ac:dyDescent="0.3">
      <c r="B26" s="11"/>
      <c r="C26" s="20">
        <f>GETPIVOTDATA("[Measures].[Zero Amount Calls]",'Pivots for Dashboard'!$A$3,"[calls].[Year]","[calls].[Year].&amp;[2019]")</f>
        <v>1457</v>
      </c>
      <c r="D26" s="20"/>
      <c r="E26" s="11"/>
      <c r="G26" s="24"/>
      <c r="H26" s="33" t="str">
        <f>'Pivots for Dashboard'!A38</f>
        <v>Undergrad</v>
      </c>
      <c r="I26" s="33"/>
      <c r="J26" s="35">
        <f>GETPIVOTDATA("[Measures].[Count of Calls]",'Pivots for Dashboard'!$A$30,"[custs].[Education]","[custs].[Education].&amp;[Undergrad]","[custs].[Gender]","[custs].[Gender].&amp;[Female]")</f>
        <v>328</v>
      </c>
      <c r="K26" s="35"/>
      <c r="L26" s="35">
        <f>GETPIVOTDATA("[Measures].[Count of Calls]",'Pivots for Dashboard'!$A$30,"[custs].[Education]","[custs].[Education].&amp;[Undergrad]","[custs].[Gender]","[custs].[Gender].&amp;[Male]")</f>
        <v>438</v>
      </c>
      <c r="M26" s="35"/>
      <c r="N26" s="35">
        <f>GETPIVOTDATA("[Measures].[Count of Calls]",'Pivots for Dashboard'!$A$30,"[custs].[Education]","[custs].[Education].&amp;[Undergrad]","[custs].[Gender]","[custs].[Gender].&amp;[Unknown]")</f>
        <v>66</v>
      </c>
      <c r="O26" s="24"/>
      <c r="P26" s="37"/>
      <c r="Q26" s="24"/>
      <c r="R26" s="24"/>
      <c r="S26" s="24"/>
      <c r="T26" s="24"/>
    </row>
    <row r="27" spans="2:24" x14ac:dyDescent="0.3">
      <c r="B27" s="11"/>
      <c r="C27" s="20"/>
      <c r="D27" s="20"/>
      <c r="E27" s="11"/>
      <c r="G27" s="24"/>
      <c r="H27" s="33"/>
      <c r="I27" s="33"/>
      <c r="J27" s="36">
        <f>GETPIVOTDATA("[Measures].[Long Calls]",'Pivots for Dashboard'!$A$30,"[custs].[Education]","[custs].[Education].&amp;[Undergrad]","[custs].[Gender]","[custs].[Gender].&amp;[Female]")/J26</f>
        <v>0.77134146341463417</v>
      </c>
      <c r="K27" s="36"/>
      <c r="L27" s="36">
        <f>GETPIVOTDATA("[Measures].[Long Calls]",'Pivots for Dashboard'!$A$30,"[custs].[Education]","[custs].[Education].&amp;[Undergrad]","[custs].[Gender]","[custs].[Gender].&amp;[Male]")/L26</f>
        <v>0.78767123287671237</v>
      </c>
      <c r="M27" s="36"/>
      <c r="N27" s="36">
        <f>GETPIVOTDATA("[Measures].[Long Calls]",'Pivots for Dashboard'!$A$30,"[custs].[Education]","[custs].[Education].&amp;[Undergrad]","[custs].[Gender]","[custs].[Gender].&amp;[Unknown]")/N26</f>
        <v>0.74242424242424243</v>
      </c>
      <c r="O27" s="24"/>
      <c r="P27" s="24"/>
      <c r="Q27" s="24"/>
      <c r="R27" s="24"/>
      <c r="S27" s="24"/>
      <c r="T27" s="24"/>
    </row>
    <row r="28" spans="2:24" x14ac:dyDescent="0.3">
      <c r="B28" s="11"/>
      <c r="C28" s="23">
        <f>GETPIVOTDATA("[Measures].[Zero Amount Calls]",'Pivots for Dashboard'!$A$3,"[calls].[Year]","[calls].[Year].&amp;[2018]")</f>
        <v>670</v>
      </c>
      <c r="D28" s="16">
        <f>'Pivots for Dashboard'!$E$9</f>
        <v>1.1746268656716419</v>
      </c>
      <c r="E28" s="11"/>
      <c r="G28" s="24"/>
      <c r="H28" s="34"/>
      <c r="I28" s="34"/>
      <c r="J28" s="34"/>
      <c r="K28" s="34"/>
      <c r="L28" s="34"/>
      <c r="M28" s="34"/>
      <c r="N28" s="34"/>
      <c r="O28" s="24"/>
      <c r="P28" s="24"/>
      <c r="Q28" s="24"/>
      <c r="R28" s="24"/>
      <c r="S28" s="24"/>
      <c r="T28" s="24"/>
    </row>
    <row r="29" spans="2:24" x14ac:dyDescent="0.3">
      <c r="B29" s="11"/>
      <c r="C29" s="11"/>
      <c r="D29" s="11"/>
      <c r="E29" s="11"/>
      <c r="G29" s="24"/>
      <c r="H29" s="24"/>
      <c r="I29" s="24"/>
      <c r="J29" s="24"/>
      <c r="K29" s="24"/>
      <c r="L29" s="24"/>
      <c r="M29" s="24"/>
      <c r="N29" s="24"/>
      <c r="O29" s="24"/>
      <c r="P29" s="24"/>
      <c r="Q29" s="24"/>
      <c r="R29" s="24"/>
      <c r="S29" s="24"/>
      <c r="T29" s="24"/>
    </row>
    <row r="42" spans="16:16" x14ac:dyDescent="0.3">
      <c r="P42" s="9">
        <v>3</v>
      </c>
    </row>
  </sheetData>
  <mergeCells count="11">
    <mergeCell ref="C20:D20"/>
    <mergeCell ref="C21:D22"/>
    <mergeCell ref="C25:D25"/>
    <mergeCell ref="C26:D27"/>
    <mergeCell ref="H7:K8"/>
    <mergeCell ref="C5:D5"/>
    <mergeCell ref="C6:D7"/>
    <mergeCell ref="C10:D10"/>
    <mergeCell ref="C11:D12"/>
    <mergeCell ref="C15:D15"/>
    <mergeCell ref="C16:D17"/>
  </mergeCells>
  <conditionalFormatting sqref="J23 J21 J25 J27">
    <cfRule type="dataBar" priority="3">
      <dataBar>
        <cfvo type="min"/>
        <cfvo type="max"/>
        <color rgb="FFFFB628"/>
      </dataBar>
      <extLst>
        <ext xmlns:x14="http://schemas.microsoft.com/office/spreadsheetml/2009/9/main" uri="{B025F937-C7B1-47D3-B67F-A62EFF666E3E}">
          <x14:id>{1D4ED5B1-6FD7-4E17-94F2-2BDFBBA1B539}</x14:id>
        </ext>
      </extLst>
    </cfRule>
  </conditionalFormatting>
  <conditionalFormatting sqref="L21 L23 L25 L27">
    <cfRule type="dataBar" priority="2">
      <dataBar>
        <cfvo type="min"/>
        <cfvo type="max"/>
        <color rgb="FFFFB628"/>
      </dataBar>
      <extLst>
        <ext xmlns:x14="http://schemas.microsoft.com/office/spreadsheetml/2009/9/main" uri="{B025F937-C7B1-47D3-B67F-A62EFF666E3E}">
          <x14:id>{37B2FCCB-03FB-46FF-A8D5-2BB0518D58EB}</x14:id>
        </ext>
      </extLst>
    </cfRule>
  </conditionalFormatting>
  <conditionalFormatting sqref="N23 N21 N25 N27">
    <cfRule type="dataBar" priority="1">
      <dataBar>
        <cfvo type="min"/>
        <cfvo type="max"/>
        <color rgb="FFFFB628"/>
      </dataBar>
      <extLst>
        <ext xmlns:x14="http://schemas.microsoft.com/office/spreadsheetml/2009/9/main" uri="{B025F937-C7B1-47D3-B67F-A62EFF666E3E}">
          <x14:id>{C3947A6E-4B4F-47B7-B346-B8F722F0F945}</x14:id>
        </ext>
      </extLst>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2" r:id="rId3" name="Drop Down 2">
              <controlPr defaultSize="0" autoLine="0" autoPict="0">
                <anchor moveWithCells="1">
                  <from>
                    <xdr:col>17</xdr:col>
                    <xdr:colOff>866775</xdr:colOff>
                    <xdr:row>17</xdr:row>
                    <xdr:rowOff>0</xdr:rowOff>
                  </from>
                  <to>
                    <xdr:col>19</xdr:col>
                    <xdr:colOff>0</xdr:colOff>
                    <xdr:row>17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8" id="{5FC70C86-B465-41AF-8D55-3B1EDD5B0DC0}">
            <x14:iconSet iconSet="3Triangles">
              <x14:cfvo type="percent">
                <xm:f>0</xm:f>
              </x14:cfvo>
              <x14:cfvo type="percent">
                <xm:f>33</xm:f>
              </x14:cfvo>
              <x14:cfvo type="percent">
                <xm:f>67</xm:f>
              </x14:cfvo>
            </x14:iconSet>
          </x14:cfRule>
          <xm:sqref>D8</xm:sqref>
        </x14:conditionalFormatting>
        <x14:conditionalFormatting xmlns:xm="http://schemas.microsoft.com/office/excel/2006/main">
          <x14:cfRule type="iconSet" priority="7" id="{39649B9F-B10E-46E7-8AC7-9C43FE16220F}">
            <x14:iconSet iconSet="3Triangles">
              <x14:cfvo type="percent">
                <xm:f>0</xm:f>
              </x14:cfvo>
              <x14:cfvo type="percent">
                <xm:f>33</xm:f>
              </x14:cfvo>
              <x14:cfvo type="percent">
                <xm:f>67</xm:f>
              </x14:cfvo>
            </x14:iconSet>
          </x14:cfRule>
          <xm:sqref>D13</xm:sqref>
        </x14:conditionalFormatting>
        <x14:conditionalFormatting xmlns:xm="http://schemas.microsoft.com/office/excel/2006/main">
          <x14:cfRule type="iconSet" priority="6" id="{D6B879CC-9EB4-4E44-96BE-1D4524DF8CC9}">
            <x14:iconSet iconSet="3Triangles">
              <x14:cfvo type="percent">
                <xm:f>0</xm:f>
              </x14:cfvo>
              <x14:cfvo type="percent">
                <xm:f>33</xm:f>
              </x14:cfvo>
              <x14:cfvo type="percent">
                <xm:f>67</xm:f>
              </x14:cfvo>
            </x14:iconSet>
          </x14:cfRule>
          <xm:sqref>D18</xm:sqref>
        </x14:conditionalFormatting>
        <x14:conditionalFormatting xmlns:xm="http://schemas.microsoft.com/office/excel/2006/main">
          <x14:cfRule type="iconSet" priority="5" id="{FB91E7BA-D1B6-474A-8378-AAD825A8176D}">
            <x14:iconSet iconSet="3Triangles">
              <x14:cfvo type="percent">
                <xm:f>0</xm:f>
              </x14:cfvo>
              <x14:cfvo type="percent">
                <xm:f>33</xm:f>
              </x14:cfvo>
              <x14:cfvo type="percent">
                <xm:f>67</xm:f>
              </x14:cfvo>
            </x14:iconSet>
          </x14:cfRule>
          <xm:sqref>D23</xm:sqref>
        </x14:conditionalFormatting>
        <x14:conditionalFormatting xmlns:xm="http://schemas.microsoft.com/office/excel/2006/main">
          <x14:cfRule type="iconSet" priority="4" id="{AFE6FBD6-D93D-48F8-8987-2BB56C98F3EF}">
            <x14:iconSet iconSet="3Triangles">
              <x14:cfvo type="percent">
                <xm:f>0</xm:f>
              </x14:cfvo>
              <x14:cfvo type="percent">
                <xm:f>33</xm:f>
              </x14:cfvo>
              <x14:cfvo type="percent">
                <xm:f>67</xm:f>
              </x14:cfvo>
            </x14:iconSet>
          </x14:cfRule>
          <xm:sqref>D28</xm:sqref>
        </x14:conditionalFormatting>
        <x14:conditionalFormatting xmlns:xm="http://schemas.microsoft.com/office/excel/2006/main">
          <x14:cfRule type="dataBar" id="{1D4ED5B1-6FD7-4E17-94F2-2BDFBBA1B539}">
            <x14:dataBar minLength="0" maxLength="100" gradient="0">
              <x14:cfvo type="autoMin"/>
              <x14:cfvo type="autoMax"/>
              <x14:negativeFillColor rgb="FFFF0000"/>
              <x14:axisColor rgb="FF000000"/>
            </x14:dataBar>
          </x14:cfRule>
          <xm:sqref>J23 J21 J25 J27</xm:sqref>
        </x14:conditionalFormatting>
        <x14:conditionalFormatting xmlns:xm="http://schemas.microsoft.com/office/excel/2006/main">
          <x14:cfRule type="dataBar" id="{37B2FCCB-03FB-46FF-A8D5-2BB0518D58EB}">
            <x14:dataBar minLength="0" maxLength="100" gradient="0">
              <x14:cfvo type="autoMin"/>
              <x14:cfvo type="autoMax"/>
              <x14:negativeFillColor rgb="FFFF0000"/>
              <x14:axisColor rgb="FF000000"/>
            </x14:dataBar>
          </x14:cfRule>
          <xm:sqref>L21 L23 L25 L27</xm:sqref>
        </x14:conditionalFormatting>
        <x14:conditionalFormatting xmlns:xm="http://schemas.microsoft.com/office/excel/2006/main">
          <x14:cfRule type="dataBar" id="{C3947A6E-4B4F-47B7-B346-B8F722F0F945}">
            <x14:dataBar minLength="0" maxLength="100" gradient="0">
              <x14:cfvo type="autoMin"/>
              <x14:cfvo type="autoMax"/>
              <x14:negativeFillColor rgb="FFFF0000"/>
              <x14:axisColor rgb="FF000000"/>
            </x14:dataBar>
          </x14:cfRule>
          <xm:sqref>N23 N21 N25 N27</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0DFB-A975-4F8B-86CE-4DA9ECD6833A}">
  <dimension ref="A1:R60"/>
  <sheetViews>
    <sheetView topLeftCell="G41" workbookViewId="0">
      <selection activeCell="S51" sqref="S51"/>
    </sheetView>
  </sheetViews>
  <sheetFormatPr defaultRowHeight="15" x14ac:dyDescent="0.25"/>
  <cols>
    <col min="1" max="1" width="13.140625" bestFit="1" customWidth="1"/>
    <col min="2" max="2" width="16.28515625" bestFit="1" customWidth="1"/>
    <col min="3" max="3" width="15.42578125" bestFit="1" customWidth="1"/>
    <col min="4" max="4" width="9.7109375" bestFit="1" customWidth="1"/>
    <col min="5" max="5" width="23.5703125" bestFit="1" customWidth="1"/>
    <col min="6" max="6" width="17.42578125" bestFit="1" customWidth="1"/>
    <col min="7" max="7" width="13.28515625" bestFit="1" customWidth="1"/>
    <col min="8" max="8" width="15.42578125" bestFit="1" customWidth="1"/>
    <col min="9" max="9" width="9.7109375" bestFit="1" customWidth="1"/>
    <col min="10" max="10" width="23.5703125" bestFit="1" customWidth="1"/>
    <col min="11" max="11" width="17.42578125" bestFit="1" customWidth="1"/>
    <col min="12" max="13" width="3.42578125" customWidth="1"/>
    <col min="14" max="14" width="14.7109375" bestFit="1" customWidth="1"/>
    <col min="15" max="16" width="12.42578125" customWidth="1"/>
  </cols>
  <sheetData>
    <row r="1" spans="1:10" ht="26.25" x14ac:dyDescent="0.4">
      <c r="A1" s="6" t="s">
        <v>27</v>
      </c>
    </row>
    <row r="3" spans="1:10" x14ac:dyDescent="0.25">
      <c r="B3" s="1" t="s">
        <v>7</v>
      </c>
    </row>
    <row r="4" spans="1:10" x14ac:dyDescent="0.25">
      <c r="A4" s="1" t="s">
        <v>26</v>
      </c>
      <c r="B4">
        <v>2018</v>
      </c>
      <c r="C4">
        <v>2019</v>
      </c>
      <c r="E4" t="s">
        <v>31</v>
      </c>
    </row>
    <row r="5" spans="1:10" x14ac:dyDescent="0.25">
      <c r="A5" s="2" t="s">
        <v>12</v>
      </c>
      <c r="B5" s="4">
        <v>3379</v>
      </c>
      <c r="C5" s="4">
        <v>4618</v>
      </c>
      <c r="E5" s="7">
        <f>GETPIVOTDATA("[Measures].[Count of Calls]",$A$3,"[calls].[Year]","[calls].[Year].&amp;[2019]")/GETPIVOTDATA("[Measures].[Count of Calls]",$A$3,"[calls].[Year]","[calls].[Year].&amp;[2018]")-1</f>
        <v>0.36667653151820057</v>
      </c>
    </row>
    <row r="6" spans="1:10" x14ac:dyDescent="0.25">
      <c r="A6" s="2" t="s">
        <v>28</v>
      </c>
      <c r="B6" s="3">
        <v>304371</v>
      </c>
      <c r="C6" s="3">
        <v>551794</v>
      </c>
      <c r="E6" s="7">
        <f>GETPIVOTDATA("[Measures].[Sum of Duration]",$A$3,"[calls].[Year]","[calls].[Year].&amp;[2019]")/GETPIVOTDATA("[Measures].[Sum of Duration]",$A$3,"[calls].[Year]","[calls].[Year].&amp;[2018]")-1</f>
        <v>0.81289938923221983</v>
      </c>
    </row>
    <row r="7" spans="1:10" x14ac:dyDescent="0.25">
      <c r="A7" s="2" t="s">
        <v>29</v>
      </c>
      <c r="B7" s="4">
        <v>1675</v>
      </c>
      <c r="C7" s="4">
        <v>3540</v>
      </c>
      <c r="E7" s="7">
        <f>GETPIVOTDATA("[Measures].[Long Calls]",$A$3,"[calls].[Year]","[calls].[Year].&amp;[2019]")/GETPIVOTDATA("[Measures].[Long Calls]",$A$3,"[calls].[Year]","[calls].[Year].&amp;[2018]")-1</f>
        <v>1.1134328358208956</v>
      </c>
    </row>
    <row r="8" spans="1:10" x14ac:dyDescent="0.25">
      <c r="A8" s="2" t="s">
        <v>2</v>
      </c>
      <c r="B8" s="3">
        <v>341150</v>
      </c>
      <c r="C8" s="3">
        <v>640035</v>
      </c>
      <c r="E8" s="7">
        <f>GETPIVOTDATA("[Measures].[Sum of Purchase Amount]",$A$3,"[calls].[Year]","[calls].[Year].&amp;[2019]")/GETPIVOTDATA("[Measures].[Sum of Purchase Amount]",$A$3,"[calls].[Year]","[calls].[Year].&amp;[2018]")-1</f>
        <v>0.87611021544775025</v>
      </c>
    </row>
    <row r="9" spans="1:10" x14ac:dyDescent="0.25">
      <c r="A9" s="2" t="s">
        <v>30</v>
      </c>
      <c r="B9" s="4">
        <v>670</v>
      </c>
      <c r="C9" s="4">
        <v>1457</v>
      </c>
      <c r="E9" s="7">
        <f>GETPIVOTDATA("[Measures].[Zero Amount Calls]",$A$3,"[calls].[Year]","[calls].[Year].&amp;[2019]")/GETPIVOTDATA("[Measures].[Zero Amount Calls]",$A$3,"[calls].[Year]","[calls].[Year].&amp;[2018]")-1</f>
        <v>1.1746268656716419</v>
      </c>
    </row>
    <row r="13" spans="1:10" x14ac:dyDescent="0.25">
      <c r="A13" s="1" t="s">
        <v>12</v>
      </c>
      <c r="B13" s="1" t="s">
        <v>7</v>
      </c>
      <c r="I13" s="1" t="s">
        <v>0</v>
      </c>
      <c r="J13" t="s">
        <v>12</v>
      </c>
    </row>
    <row r="14" spans="1:10" x14ac:dyDescent="0.25">
      <c r="A14" s="1" t="s">
        <v>0</v>
      </c>
      <c r="B14" t="s">
        <v>32</v>
      </c>
      <c r="C14" t="s">
        <v>25</v>
      </c>
      <c r="D14" t="s">
        <v>24</v>
      </c>
      <c r="E14" t="s">
        <v>1</v>
      </c>
      <c r="I14" s="2" t="s">
        <v>8</v>
      </c>
      <c r="J14" s="4">
        <v>708</v>
      </c>
    </row>
    <row r="15" spans="1:10" x14ac:dyDescent="0.25">
      <c r="A15" s="2" t="s">
        <v>10</v>
      </c>
      <c r="B15" s="4">
        <v>82</v>
      </c>
      <c r="C15" s="4">
        <v>337</v>
      </c>
      <c r="D15" s="4">
        <v>312</v>
      </c>
      <c r="E15" s="4">
        <v>731</v>
      </c>
      <c r="I15" s="2" t="s">
        <v>9</v>
      </c>
      <c r="J15" s="4">
        <v>683</v>
      </c>
    </row>
    <row r="16" spans="1:10" x14ac:dyDescent="0.25">
      <c r="A16" s="2" t="s">
        <v>9</v>
      </c>
      <c r="B16" s="4">
        <v>64</v>
      </c>
      <c r="C16" s="4">
        <v>332</v>
      </c>
      <c r="D16" s="4">
        <v>287</v>
      </c>
      <c r="E16" s="4">
        <v>683</v>
      </c>
      <c r="I16" s="2" t="s">
        <v>10</v>
      </c>
      <c r="J16" s="4">
        <v>731</v>
      </c>
    </row>
    <row r="17" spans="1:10" x14ac:dyDescent="0.25">
      <c r="A17" s="2" t="s">
        <v>8</v>
      </c>
      <c r="B17" s="4">
        <v>82</v>
      </c>
      <c r="C17" s="4">
        <v>343</v>
      </c>
      <c r="D17" s="4">
        <v>283</v>
      </c>
      <c r="E17" s="4">
        <v>708</v>
      </c>
      <c r="I17" s="2" t="s">
        <v>1</v>
      </c>
      <c r="J17" s="4">
        <v>2122</v>
      </c>
    </row>
    <row r="18" spans="1:10" x14ac:dyDescent="0.25">
      <c r="A18" s="2" t="s">
        <v>1</v>
      </c>
      <c r="B18" s="4">
        <v>228</v>
      </c>
      <c r="C18" s="4">
        <v>1012</v>
      </c>
      <c r="D18" s="4">
        <v>882</v>
      </c>
      <c r="E18" s="4">
        <v>2122</v>
      </c>
    </row>
    <row r="30" spans="1:10" x14ac:dyDescent="0.25">
      <c r="C30" s="1" t="s">
        <v>33</v>
      </c>
    </row>
    <row r="31" spans="1:10" x14ac:dyDescent="0.25">
      <c r="A31" s="1" t="s">
        <v>34</v>
      </c>
      <c r="B31" s="1" t="s">
        <v>26</v>
      </c>
      <c r="C31" t="s">
        <v>24</v>
      </c>
      <c r="D31" t="s">
        <v>25</v>
      </c>
      <c r="E31" t="s">
        <v>32</v>
      </c>
    </row>
    <row r="32" spans="1:10" x14ac:dyDescent="0.25">
      <c r="A32" t="s">
        <v>3</v>
      </c>
      <c r="B32" t="s">
        <v>12</v>
      </c>
      <c r="C32" s="4">
        <v>257</v>
      </c>
      <c r="D32" s="4">
        <v>224</v>
      </c>
      <c r="E32" s="4">
        <v>95</v>
      </c>
    </row>
    <row r="33" spans="1:18" x14ac:dyDescent="0.25">
      <c r="B33" t="s">
        <v>29</v>
      </c>
      <c r="C33" s="4">
        <v>197</v>
      </c>
      <c r="D33" s="4">
        <v>177</v>
      </c>
      <c r="E33" s="4">
        <v>69</v>
      </c>
    </row>
    <row r="34" spans="1:18" x14ac:dyDescent="0.25">
      <c r="A34" t="s">
        <v>4</v>
      </c>
      <c r="B34" t="s">
        <v>12</v>
      </c>
      <c r="C34" s="4">
        <v>124</v>
      </c>
      <c r="D34" s="4">
        <v>174</v>
      </c>
      <c r="E34" s="4">
        <v>43</v>
      </c>
    </row>
    <row r="35" spans="1:18" x14ac:dyDescent="0.25">
      <c r="B35" t="s">
        <v>29</v>
      </c>
      <c r="C35" s="4">
        <v>97</v>
      </c>
      <c r="D35" s="4">
        <v>138</v>
      </c>
      <c r="E35" s="4">
        <v>35</v>
      </c>
    </row>
    <row r="36" spans="1:18" x14ac:dyDescent="0.25">
      <c r="A36" t="s">
        <v>5</v>
      </c>
      <c r="B36" t="s">
        <v>12</v>
      </c>
      <c r="C36" s="4">
        <v>173</v>
      </c>
      <c r="D36" s="4">
        <v>176</v>
      </c>
      <c r="E36" s="4">
        <v>24</v>
      </c>
    </row>
    <row r="37" spans="1:18" x14ac:dyDescent="0.25">
      <c r="B37" t="s">
        <v>29</v>
      </c>
      <c r="C37" s="4">
        <v>128</v>
      </c>
      <c r="D37" s="4">
        <v>124</v>
      </c>
      <c r="E37" s="4">
        <v>18</v>
      </c>
    </row>
    <row r="38" spans="1:18" x14ac:dyDescent="0.25">
      <c r="A38" t="s">
        <v>6</v>
      </c>
      <c r="B38" t="s">
        <v>12</v>
      </c>
      <c r="C38" s="4">
        <v>328</v>
      </c>
      <c r="D38" s="4">
        <v>438</v>
      </c>
      <c r="E38" s="4">
        <v>66</v>
      </c>
    </row>
    <row r="39" spans="1:18" x14ac:dyDescent="0.25">
      <c r="B39" t="s">
        <v>29</v>
      </c>
      <c r="C39" s="4">
        <v>253</v>
      </c>
      <c r="D39" s="4">
        <v>345</v>
      </c>
      <c r="E39" s="4">
        <v>49</v>
      </c>
    </row>
    <row r="41" spans="1:18" x14ac:dyDescent="0.25">
      <c r="R41">
        <v>1</v>
      </c>
    </row>
    <row r="42" spans="1:18" x14ac:dyDescent="0.25">
      <c r="B42" s="1" t="s">
        <v>7</v>
      </c>
      <c r="O42" t="s">
        <v>46</v>
      </c>
      <c r="P42">
        <v>2</v>
      </c>
      <c r="R42" s="5" t="s">
        <v>50</v>
      </c>
    </row>
    <row r="43" spans="1:18" x14ac:dyDescent="0.25">
      <c r="B43">
        <v>2018</v>
      </c>
      <c r="G43">
        <v>2019</v>
      </c>
      <c r="O43" t="s">
        <v>47</v>
      </c>
      <c r="P43" t="str">
        <f>INDEX(R43:R47,P42)</f>
        <v>Talk time</v>
      </c>
      <c r="R43" t="s">
        <v>51</v>
      </c>
    </row>
    <row r="44" spans="1:18" x14ac:dyDescent="0.25">
      <c r="A44" s="1" t="s">
        <v>0</v>
      </c>
      <c r="B44" t="s">
        <v>12</v>
      </c>
      <c r="C44" t="s">
        <v>28</v>
      </c>
      <c r="D44" t="s">
        <v>29</v>
      </c>
      <c r="E44" t="s">
        <v>2</v>
      </c>
      <c r="F44" t="s">
        <v>30</v>
      </c>
      <c r="G44" t="s">
        <v>12</v>
      </c>
      <c r="H44" t="s">
        <v>28</v>
      </c>
      <c r="I44" t="s">
        <v>29</v>
      </c>
      <c r="J44" t="s">
        <v>2</v>
      </c>
      <c r="K44" t="s">
        <v>30</v>
      </c>
      <c r="N44" t="s">
        <v>48</v>
      </c>
      <c r="O44" s="5" t="s">
        <v>52</v>
      </c>
      <c r="P44" s="5" t="s">
        <v>53</v>
      </c>
      <c r="R44" t="s">
        <v>38</v>
      </c>
    </row>
    <row r="45" spans="1:18" x14ac:dyDescent="0.25">
      <c r="A45" s="2">
        <v>1</v>
      </c>
      <c r="B45" s="4">
        <v>120</v>
      </c>
      <c r="C45" s="3">
        <v>10783</v>
      </c>
      <c r="D45" s="4">
        <v>61</v>
      </c>
      <c r="E45" s="3">
        <v>11595</v>
      </c>
      <c r="F45" s="4">
        <v>26</v>
      </c>
      <c r="G45" s="4">
        <v>186</v>
      </c>
      <c r="H45" s="3">
        <v>21982</v>
      </c>
      <c r="I45" s="4">
        <v>133</v>
      </c>
      <c r="J45" s="3">
        <v>24360</v>
      </c>
      <c r="K45" s="4">
        <v>63</v>
      </c>
      <c r="N45" t="s">
        <v>17</v>
      </c>
      <c r="O45">
        <f>INDEX($B45:$F45,$P$42)</f>
        <v>10783</v>
      </c>
      <c r="P45">
        <f>INDEX($G45:$K45,$P$42)</f>
        <v>21982</v>
      </c>
      <c r="R45" t="s">
        <v>29</v>
      </c>
    </row>
    <row r="46" spans="1:18" x14ac:dyDescent="0.25">
      <c r="A46" s="2">
        <v>2</v>
      </c>
      <c r="B46" s="4">
        <v>99</v>
      </c>
      <c r="C46" s="3">
        <v>8966</v>
      </c>
      <c r="D46" s="4">
        <v>55</v>
      </c>
      <c r="E46" s="3">
        <v>10305</v>
      </c>
      <c r="F46" s="4">
        <v>19</v>
      </c>
      <c r="G46" s="4">
        <v>153</v>
      </c>
      <c r="H46" s="3">
        <v>18567</v>
      </c>
      <c r="I46" s="4">
        <v>121</v>
      </c>
      <c r="J46" s="3">
        <v>21450</v>
      </c>
      <c r="K46" s="4">
        <v>47</v>
      </c>
      <c r="N46" t="s">
        <v>16</v>
      </c>
      <c r="O46">
        <f t="shared" ref="O46:O56" si="0">INDEX($B46:$F46,$P$42)</f>
        <v>8966</v>
      </c>
      <c r="P46">
        <f t="shared" ref="P46:P56" si="1">INDEX($G46:$K46,$P$42)</f>
        <v>18567</v>
      </c>
      <c r="R46" t="s">
        <v>40</v>
      </c>
    </row>
    <row r="47" spans="1:18" x14ac:dyDescent="0.25">
      <c r="A47" s="2">
        <v>3</v>
      </c>
      <c r="B47" s="4">
        <v>154</v>
      </c>
      <c r="C47" s="3">
        <v>13781</v>
      </c>
      <c r="D47" s="4">
        <v>69</v>
      </c>
      <c r="E47" s="3">
        <v>15150</v>
      </c>
      <c r="F47" s="4">
        <v>34</v>
      </c>
      <c r="G47" s="4">
        <v>191</v>
      </c>
      <c r="H47" s="3">
        <v>22033</v>
      </c>
      <c r="I47" s="4">
        <v>144</v>
      </c>
      <c r="J47" s="3">
        <v>23185</v>
      </c>
      <c r="K47" s="4">
        <v>72</v>
      </c>
      <c r="N47" t="s">
        <v>20</v>
      </c>
      <c r="O47">
        <f t="shared" si="0"/>
        <v>13781</v>
      </c>
      <c r="P47">
        <f t="shared" si="1"/>
        <v>22033</v>
      </c>
      <c r="R47" t="s">
        <v>41</v>
      </c>
    </row>
    <row r="48" spans="1:18" x14ac:dyDescent="0.25">
      <c r="A48" s="2">
        <v>4</v>
      </c>
      <c r="B48" s="4">
        <v>125</v>
      </c>
      <c r="C48" s="3">
        <v>11263</v>
      </c>
      <c r="D48" s="4">
        <v>60</v>
      </c>
      <c r="E48" s="3">
        <v>11845</v>
      </c>
      <c r="F48" s="4">
        <v>33</v>
      </c>
      <c r="G48" s="4">
        <v>180</v>
      </c>
      <c r="H48" s="3">
        <v>21754</v>
      </c>
      <c r="I48" s="4">
        <v>132</v>
      </c>
      <c r="J48" s="3">
        <v>25775</v>
      </c>
      <c r="K48" s="4">
        <v>54</v>
      </c>
      <c r="N48" t="s">
        <v>13</v>
      </c>
      <c r="O48">
        <f t="shared" si="0"/>
        <v>11263</v>
      </c>
      <c r="P48">
        <f t="shared" si="1"/>
        <v>21754</v>
      </c>
    </row>
    <row r="49" spans="1:16" x14ac:dyDescent="0.25">
      <c r="A49" s="2">
        <v>5</v>
      </c>
      <c r="B49" s="4">
        <v>115</v>
      </c>
      <c r="C49" s="3">
        <v>10318</v>
      </c>
      <c r="D49" s="4">
        <v>56</v>
      </c>
      <c r="E49" s="3">
        <v>11705</v>
      </c>
      <c r="F49" s="4">
        <v>20</v>
      </c>
      <c r="G49" s="4">
        <v>171</v>
      </c>
      <c r="H49" s="3">
        <v>20362</v>
      </c>
      <c r="I49" s="4">
        <v>135</v>
      </c>
      <c r="J49" s="3">
        <v>26940</v>
      </c>
      <c r="K49" s="4">
        <v>51</v>
      </c>
      <c r="N49" t="s">
        <v>11</v>
      </c>
      <c r="O49">
        <f t="shared" si="0"/>
        <v>10318</v>
      </c>
      <c r="P49">
        <f t="shared" si="1"/>
        <v>20362</v>
      </c>
    </row>
    <row r="50" spans="1:16" x14ac:dyDescent="0.25">
      <c r="A50" s="2">
        <v>6</v>
      </c>
      <c r="B50" s="4">
        <v>117</v>
      </c>
      <c r="C50" s="3">
        <v>10702</v>
      </c>
      <c r="D50" s="4">
        <v>58</v>
      </c>
      <c r="E50" s="3">
        <v>11545</v>
      </c>
      <c r="F50" s="4">
        <v>27</v>
      </c>
      <c r="G50" s="4">
        <v>163</v>
      </c>
      <c r="H50" s="3">
        <v>19271</v>
      </c>
      <c r="I50" s="4">
        <v>131</v>
      </c>
      <c r="J50" s="3">
        <v>20665</v>
      </c>
      <c r="K50" s="4">
        <v>61</v>
      </c>
      <c r="N50" t="s">
        <v>19</v>
      </c>
      <c r="O50">
        <f t="shared" si="0"/>
        <v>10702</v>
      </c>
      <c r="P50">
        <f t="shared" si="1"/>
        <v>19271</v>
      </c>
    </row>
    <row r="51" spans="1:16" x14ac:dyDescent="0.25">
      <c r="A51" s="2">
        <v>7</v>
      </c>
      <c r="B51" s="4">
        <v>111</v>
      </c>
      <c r="C51" s="3">
        <v>10066</v>
      </c>
      <c r="D51" s="4">
        <v>57</v>
      </c>
      <c r="E51" s="3">
        <v>10455</v>
      </c>
      <c r="F51" s="4">
        <v>26</v>
      </c>
      <c r="G51" s="4">
        <v>168</v>
      </c>
      <c r="H51" s="3">
        <v>19012</v>
      </c>
      <c r="I51" s="4">
        <v>120</v>
      </c>
      <c r="J51" s="3">
        <v>24675</v>
      </c>
      <c r="K51" s="4">
        <v>43</v>
      </c>
      <c r="N51" t="s">
        <v>18</v>
      </c>
      <c r="O51">
        <f t="shared" si="0"/>
        <v>10066</v>
      </c>
      <c r="P51">
        <f t="shared" si="1"/>
        <v>19012</v>
      </c>
    </row>
    <row r="52" spans="1:16" x14ac:dyDescent="0.25">
      <c r="A52" s="2">
        <v>8</v>
      </c>
      <c r="B52" s="4">
        <v>142</v>
      </c>
      <c r="C52" s="3">
        <v>12638</v>
      </c>
      <c r="D52" s="4">
        <v>63</v>
      </c>
      <c r="E52" s="3">
        <v>13735</v>
      </c>
      <c r="F52" s="4">
        <v>35</v>
      </c>
      <c r="G52" s="4">
        <v>209</v>
      </c>
      <c r="H52" s="3">
        <v>26198</v>
      </c>
      <c r="I52" s="4">
        <v>167</v>
      </c>
      <c r="J52" s="3">
        <v>30910</v>
      </c>
      <c r="K52" s="4">
        <v>59</v>
      </c>
      <c r="N52" t="s">
        <v>14</v>
      </c>
      <c r="O52">
        <f t="shared" si="0"/>
        <v>12638</v>
      </c>
      <c r="P52">
        <f t="shared" si="1"/>
        <v>26198</v>
      </c>
    </row>
    <row r="53" spans="1:16" x14ac:dyDescent="0.25">
      <c r="A53" s="2">
        <v>9</v>
      </c>
      <c r="B53" s="4">
        <v>136</v>
      </c>
      <c r="C53" s="3">
        <v>12476</v>
      </c>
      <c r="D53" s="4">
        <v>72</v>
      </c>
      <c r="E53" s="3">
        <v>14305</v>
      </c>
      <c r="F53" s="4">
        <v>22</v>
      </c>
      <c r="G53" s="4">
        <v>166</v>
      </c>
      <c r="H53" s="3">
        <v>18998</v>
      </c>
      <c r="I53" s="4">
        <v>116</v>
      </c>
      <c r="J53" s="3">
        <v>24530</v>
      </c>
      <c r="K53" s="4">
        <v>48</v>
      </c>
      <c r="N53" t="s">
        <v>23</v>
      </c>
      <c r="O53">
        <f t="shared" si="0"/>
        <v>12476</v>
      </c>
      <c r="P53">
        <f t="shared" si="1"/>
        <v>18998</v>
      </c>
    </row>
    <row r="54" spans="1:16" x14ac:dyDescent="0.25">
      <c r="A54" s="2">
        <v>10</v>
      </c>
      <c r="B54" s="4">
        <v>97</v>
      </c>
      <c r="C54" s="3">
        <v>8842</v>
      </c>
      <c r="D54" s="4">
        <v>54</v>
      </c>
      <c r="E54" s="3">
        <v>9710</v>
      </c>
      <c r="F54" s="4">
        <v>20</v>
      </c>
      <c r="G54" s="4">
        <v>187</v>
      </c>
      <c r="H54" s="3">
        <v>22720</v>
      </c>
      <c r="I54" s="4">
        <v>143</v>
      </c>
      <c r="J54" s="3">
        <v>25425</v>
      </c>
      <c r="K54" s="4">
        <v>58</v>
      </c>
      <c r="N54" t="s">
        <v>22</v>
      </c>
      <c r="O54">
        <f t="shared" si="0"/>
        <v>8842</v>
      </c>
      <c r="P54">
        <f t="shared" si="1"/>
        <v>22720</v>
      </c>
    </row>
    <row r="55" spans="1:16" x14ac:dyDescent="0.25">
      <c r="A55" s="2">
        <v>11</v>
      </c>
      <c r="B55" s="4">
        <v>137</v>
      </c>
      <c r="C55" s="3">
        <v>12769</v>
      </c>
      <c r="D55" s="4">
        <v>81</v>
      </c>
      <c r="E55" s="3">
        <v>12725</v>
      </c>
      <c r="F55" s="4">
        <v>31</v>
      </c>
      <c r="G55" s="4">
        <v>167</v>
      </c>
      <c r="H55" s="3">
        <v>21261</v>
      </c>
      <c r="I55" s="4">
        <v>144</v>
      </c>
      <c r="J55" s="3">
        <v>21710</v>
      </c>
      <c r="K55" s="4">
        <v>52</v>
      </c>
      <c r="N55" t="s">
        <v>21</v>
      </c>
      <c r="O55">
        <f t="shared" si="0"/>
        <v>12769</v>
      </c>
      <c r="P55">
        <f t="shared" si="1"/>
        <v>21261</v>
      </c>
    </row>
    <row r="56" spans="1:16" x14ac:dyDescent="0.25">
      <c r="A56" s="2">
        <v>12</v>
      </c>
      <c r="B56" s="4">
        <v>132</v>
      </c>
      <c r="C56" s="3">
        <v>11857</v>
      </c>
      <c r="D56" s="4">
        <v>62</v>
      </c>
      <c r="E56" s="3">
        <v>13345</v>
      </c>
      <c r="F56" s="4">
        <v>25</v>
      </c>
      <c r="G56" s="4">
        <v>181</v>
      </c>
      <c r="H56" s="3">
        <v>21896</v>
      </c>
      <c r="I56" s="4">
        <v>144</v>
      </c>
      <c r="J56" s="3">
        <v>23575</v>
      </c>
      <c r="K56" s="4">
        <v>68</v>
      </c>
      <c r="N56" t="s">
        <v>15</v>
      </c>
      <c r="O56">
        <f t="shared" si="0"/>
        <v>11857</v>
      </c>
      <c r="P56">
        <f t="shared" si="1"/>
        <v>21896</v>
      </c>
    </row>
    <row r="58" spans="1:16" x14ac:dyDescent="0.25">
      <c r="N58" t="s">
        <v>49</v>
      </c>
      <c r="O58">
        <f>SUM(O45:O56)</f>
        <v>134461</v>
      </c>
      <c r="P58">
        <f>SUM(P45:P56)</f>
        <v>254054</v>
      </c>
    </row>
    <row r="60" spans="1:16" x14ac:dyDescent="0.25">
      <c r="I60" t="s">
        <v>35</v>
      </c>
      <c r="N60" t="str">
        <f>P43&amp;IF(P58&gt;O58," up "," down ")&amp;"by "&amp;TEXT(ABS(P58/O58-1),"0%")</f>
        <v>Talk time up by 89%</v>
      </c>
    </row>
  </sheetData>
  <pageMargins left="0.7" right="0.7" top="0.75" bottom="0.75" header="0.3" footer="0.3"/>
  <pageSetup orientation="portrait" horizontalDpi="300" verticalDpi="300" r:id="rId6"/>
  <drawing r:id="rId7"/>
  <tableParts count="1">
    <tablePart r:id="rId8"/>
  </tableParts>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2 c e 9 d 1 - 5 1 d c - 4 9 6 5 - a d 6 f - 3 b 8 4 b f 6 a 2 f 3 a "   x m l n s = " h t t p : / / s c h e m a s . m i c r o s o f t . c o m / D a t a M a s h u p " > A A A A A P Q F A A B Q S w M E F A A C A A g A u 1 w G V Q q k H c i k A A A A + A A A A B I A H A B D b 2 5 m a W c v U G F j a 2 F n Z S 5 4 b W w g o h g A K K A U A A A A A A A A A A A A A A A A A A A A A A A A A A A A h Y / P C o J A G M R f R f b u / g t C 5 H M 9 d E 0 I g u g q 6 2 Z L + h n u 2 v p u H X q k X i G j r G 4 d Z + Y H M 3 O / 3 i A f 2 y a 6 m N 7 Z D j M i K C e R Q d 1 V F u u M D P 4 Q J y R X s C n 1 q a x N N M H o 0 t F V G T l 6 f 0 4 Z C y H Q s K B d X z P J u W D 7 Y r 3 V R 9 O W 5 A P b / 3 B s 0 f k S t S E K d q 8 x S l L B l 1 S I R F I O b H a h s P g l 5 D T 4 m f 6 Y s B o a P / R G G Y y n D m C z B v Z + o R 5 Q S w M E F A A C A A g A u 1 w G 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t c B l X V N E H v 7 g I A A E Q K A A A T A B w A R m 9 y b X V s Y X M v U 2 V j d G l v b j E u b S C i G A A o o B Q A A A A A A A A A A A A A A A A A A A A A A A A A A A D V V t t u 2 k A Q f U f i H 0 b b F 5 B c K 5 C L e v M D g r S N q k R p Q Y o q Q N V i T 8 D K e t f d X d M g x L 9 3 1 o Z g Y m j V K q o a X o C Z s z N n Z s 6 s b T C 0 s Z L Q L 7 5 b b + u 1 e s 3 M u M Y I Q i 6 E g Q A E 2 n o N 6 N N X m Q 6 R L O f 3 I Q r / R u m 7 i V J 3 j f e x Q L + r p E V p T Y P 1 3 o y O 4 Z L + z g x Y B R O E H r c c O p K L h b G j G 8 Q 7 a B U x R p 1 o z m V I y a 7 j u b I w 4 B O B M N B x e G d G k T t 1 q z S k 6 g d q + J 6 h X o z a R 6 3 X L 5 3 H v x f m n j U 9 k J k Q H l i d Y d M r e O b E v x W x g j X r 5 f D C Y h K w 3 M e 8 T 7 G M A p Z D 2 H g 1 d A T H 6 9 M v W H f G 5 Z Q 4 D R Y p M o q Q w / y B 5 t I Q n a S r R J Z I 5 z S N U i p v u W T d z F i V E N m L H i N O B A G L 9 3 b l w Z L 1 M s 1 d j 8 l x I e 3 Z i e 8 i 5 J 5 r I j j j B q G T q E z a K u A L p h o N d Z c C z L E a m V s E d Q t d I r N x U o t w t W o + 1 N R J U 5 Q R F f X Z t X F b V V c l k 1 h i Y / m o b I / O U K 9 f 5 b 1 m p U A X 0 q C 2 B P u K X G / j d K K o 6 E u j k s s D l m M 9 Q B 7 O n B j Q d 4 b G s E x 8 3 C y X v S d f r q j 9 C X c 5 U b 4 C W 0 6 Y W / 4 m I 1 z x B H + T d p O O l U 5 U k j t r l c D D J J v 1 W i x / R W F n N U l n z 3 M 1 H f F D q + l 8 T 7 i a 2 1 T l 1 a x s z w e n 1 a q 5 M 8 X q I p 5 H W b h Z 4 i 2 8 v G a R 0 z 0 1 P I o d j A s o K O 0 X 0 K O N c z n h g 1 Z Z G s v p R k D x L Q z J P o Z 3 A b R P w c 5 Q A s t S N 7 7 2 K Q M U d G + U M c d H a 0 z 7 z G G O j / Z h N n G O W z l m X 5 y T B 0 w e 5 2 S D Y Y n S V D c x d 7 Y d 1 R 4 s v i x d j e m z V K 7 j f U C 4 z v V 0 u t 0 m c r K l q 7 9 6 3 2 P K t U 0 w f 1 T s u i 6 5 5 N N H a l 7 t D G m H S X k w 5 f t + 7 4 C 6 Z u 7 3 V J i 5 x P 9 6 P A U v P z R z m s 6 w h y J O Y o s 6 Y B 6 V W n T P B K c e n M t Q R b Q 9 Q a t 9 2 v b o A a Q s 9 u 1 C Y L D 9 6 V 8 p i e P t z l 5 r l S h 3 2 X 5 E T j e B 2 c 5 n 7 V n b G 0 U n P B i u 7 R 0 h + v Q C w L U J n F J K I f 9 g 3 H v y / 5 d v E o c 1 9 B N Q S w E C L Q A U A A I A C A C 7 X A Z V C q Q d y K Q A A A D 4 A A A A E g A A A A A A A A A A A A A A A A A A A A A A Q 2 9 u Z m l n L 1 B h Y 2 t h Z 2 U u e G 1 s U E s B A i 0 A F A A C A A g A u 1 w G V Q / K 6 a u k A A A A 6 Q A A A B M A A A A A A A A A A A A A A A A A 8 A A A A F t D b 2 5 0 Z W 5 0 X 1 R 5 c G V z X S 5 4 b W x Q S w E C L Q A U A A I A C A C 7 X A Z V 1 T R B 7 + 4 C A A B E C g A A E w A A A A A A A A A A A A A A A A D h A Q A A R m 9 y b X V s Y X M v U 2 V j d G l v b j E u b V B L B Q Y A A A A A A w A D A M I A A A A 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J A A A A A A A A I I 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Y W x s 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O T k 3 I i A v P j x F b n R y e S B U e X B l P S J G a W x s R X J y b 3 J D b 2 R l I i B W Y W x 1 Z T 0 i c 1 V u a 2 5 v d 2 4 i I C 8 + P E V u d H J 5 I F R 5 c G U 9 I k Z p b G x F c n J v c k N v d W 5 0 I i B W Y W x 1 Z T 0 i b D A i I C 8 + P E V u d H J 5 I F R 5 c G U 9 I k Z p b G x M Y X N 0 V X B k Y X R l Z C I g V m F s d W U 9 I m Q y M D I y L T A 4 L T A 2 V D A 0 O j M y O j M 1 L j M 4 M T c y M D R a I i A v P j x F b n R y e S B U e X B l P S J G a W x s Q 2 9 s d W 1 u V H l w Z X M i I F Z h b H V l P S J z Q m d N R E J n a 0 R B d 1 k 9 I i A v P j x F b n R y e S B U e X B l P S J G a W x s Q 2 9 s d W 1 u T m F t Z X M i I F Z h b H V l P S J z W y Z x d W 9 0 O 0 N 1 c 3 R v b W V y I E l E J n F 1 b 3 Q 7 L C Z x d W 9 0 O 0 R 1 c m F 0 a W 9 u J n F 1 b 3 Q 7 L C Z x d W 9 0 O 1 B 1 c m N o Y X N l I E F t b 3 V u d C Z x d W 9 0 O y w m c X V v d D t S Z X B y Z X N l b n R h d G l 2 Z S Z x d W 9 0 O y w m c X V v d D t E Y X R l I G 9 m I E N h b G w m c X V v d D s s J n F 1 b 3 Q 7 W W V h c i Z x d W 9 0 O y w m c X V v d D t N b 2 5 0 a C Z x d W 9 0 O y w m c X V v d D t N b 2 5 0 a C B O Y W 1 l J n F 1 b 3 Q 7 X S I g L z 4 8 R W 5 0 c n k g V H l w Z T 0 i R m l s b F N 0 Y X R 1 c y I g V m F s d W U 9 I n N D b 2 1 w b G V 0 Z S I g L z 4 8 R W 5 0 c n k g V H l w Z T 0 i U X V l c n l J R C I g V m F s d W U 9 I n M 4 Z W J j N z Z h M i 0 y O T B i L T R l Y 2 I t Y j I x Z S 1 h Z j A 0 M 2 I 2 N D U 2 M G Q i I C 8 + P E V u d H J 5 I F R 5 c G U 9 I l J l b G F 0 a W 9 u c 2 h p c E l u Z m 9 D b 2 5 0 Y W l u Z X I i I F Z h b H V l P S J z e y Z x d W 9 0 O 2 N v b H V t b k N v d W 5 0 J n F 1 b 3 Q 7 O j g s J n F 1 b 3 Q 7 a 2 V 5 Q 2 9 s d W 1 u T m F t Z X M m c X V v d D s 6 W 1 0 s J n F 1 b 3 Q 7 c X V l c n l S Z W x h d G l v b n N o a X B z J n F 1 b 3 Q 7 O l t d L C Z x d W 9 0 O 2 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D b 2 x 1 b W 5 D b 3 V u d C Z x d W 9 0 O z o 4 L C Z x d W 9 0 O 0 t l e U N v b H V t b k 5 h b W V z J n F 1 b 3 Q 7 O l t d L C Z x d W 9 0 O 0 N v b H V t b k l k Z W 5 0 a X R p Z X M m c X V v d D s 6 W y Z x d W 9 0 O 1 N l Y 3 R p b 2 4 x L 2 N h b G x z L 0 F w c G V u Z G V k I F F 1 Z X J 5 L n t D d X N 0 b 2 1 l c i B J R C w w f S Z x d W 9 0 O y w m c X V v d D t T Z W N 0 a W 9 u M S 9 j Y W x s c y 9 B c H B l b m R l Z C B R d W V y e S 5 7 R H V y Y X R p b 2 4 s M X 0 m c X V v d D s s J n F 1 b 3 Q 7 U 2 V j d G l v b j E v Y 2 F s b H M v Q X B w Z W 5 k Z W Q g U X V l c n k u e 1 B 1 c m N o Y X N l I E F t b 3 V u d C w y f S Z x d W 9 0 O y w m c X V v d D t T Z W N 0 a W 9 u M S 9 j Y W x s c y 9 B c H B l b m R l Z C B R d W V y e S 5 7 U m V w c m V z Z W 5 0 Y X R p d m U s M 3 0 m c X V v d D s s J n F 1 b 3 Q 7 U 2 V j d G l v b j E v Y 2 F s b H M v Q X B w Z W 5 k Z W Q g U X V l c n k u e 0 R h d G U g b 2 Y g Q 2 F s b C w 0 f S Z x d W 9 0 O y w m c X V v d D t T Z W N 0 a W 9 u M S 9 j Y W x s c y 9 J b n N l c n R l Z C B Z Z W F y L n t Z Z W F y L D V 9 J n F 1 b 3 Q 7 L C Z x d W 9 0 O 1 N l Y 3 R p b 2 4 x L 2 N h b G x z L 0 l u c 2 V y d G V k I E 1 v b n R o L n t N b 2 5 0 a C w 2 f S Z x d W 9 0 O y w m c X V v d D t T Z W N 0 a W 9 u M S 9 j Y W x s c y 9 J b n N l c n R l Z C B N b 2 5 0 a C B O Y W 1 l L n t N b 2 5 0 a C B O Y W 1 l L D d 9 J n F 1 b 3 Q 7 X S w m c X V v d D t S Z W x h d G l v b n N o a X B J b m Z v J n F 1 b 3 Q 7 O l t d f S I g L z 4 8 L 1 N 0 Y W J s Z U V u d H J p Z X M + P C 9 J d G V t P j x J d G V t P j x J d G V t T G 9 j Y X R p b 2 4 + P E l 0 Z W 1 U e X B l P k Z v c m 1 1 b G E 8 L 0 l 0 Z W 1 U e X B l P j x J d G V t U G F 0 a D 5 T Z W N 0 a W 9 u M S 9 j Y W x s c y 9 T b 3 V y Y 2 U 8 L 0 l 0 Z W 1 Q Y X R o P j w v S X R l b U x v Y 2 F 0 a W 9 u P j x T d G F i b G V F b n R y a W V z I C 8 + P C 9 J d G V t P j x J d G V t P j x J d G V t T G 9 j Y X R p b 2 4 + P E l 0 Z W 1 U e X B l P k Z v c m 1 1 b G E 8 L 0 l 0 Z W 1 U e X B l P j x J d G V t U G F 0 a D 5 T Z W N 0 a W 9 u M S 9 j Y W x s c y 9 j Y W x s c 1 9 U Y W J s Z T w v S X R l b V B h d G g + P C 9 J d G V t T G 9 j Y X R p b 2 4 + P F N 0 Y W J s Z U V u d H J p Z X M g L z 4 8 L 0 l 0 Z W 0 + P E l 0 Z W 0 + P E l 0 Z W 1 M b 2 N h d G l v b j 4 8 S X R l b V R 5 c G U + R m 9 y b X V s Y T w v S X R l b V R 5 c G U + P E l 0 Z W 1 Q Y X R o P l N l Y 3 R p b 2 4 x L 2 N 1 c 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g 1 I i A v P j x F b n R y e S B U e X B l P S J G a W x s R X J y b 3 J D b 2 R l I i B W Y W x 1 Z T 0 i c 1 V u a 2 5 v d 2 4 i I C 8 + P E V u d H J 5 I F R 5 c G U 9 I k Z p b G x F c n J v c k N v d W 5 0 I i B W Y W x 1 Z T 0 i b D A i I C 8 + P E V u d H J 5 I F R 5 c G U 9 I k Z p b G x M Y X N 0 V X B k Y X R l Z C I g V m F s d W U 9 I m Q y M D I y L T A 4 L T A 2 V D A 0 O j M 3 O j U z L j E y M D Q 0 M j F a I i A v P j x F b n R y e S B U e X B l P S J G a W x s Q 2 9 s d W 1 u V H l w Z X M i I F Z h b H V l P S J z Q m d Z R E J n Q T 0 i I C 8 + P E V u d H J 5 I F R 5 c G U 9 I k Z p b G x D b 2 x 1 b W 5 O Y W 1 l c y I g V m F s d W U 9 I n N b J n F 1 b 3 Q 7 Q 3 V z d G 9 t Z X I m c X V v d D s s J n F 1 b 3 Q 7 R 2 V u Z G V y J n F 1 b 3 Q 7 L C Z x d W 9 0 O 0 F n Z S Z x d W 9 0 O y w m c X V v d D t F Z H V j Y X R p b 2 4 m c X V v d D s s J n F 1 b 3 Q 7 Q W d l I E d y b 3 V w a W 5 n J n F 1 b 3 Q 7 X S I g L z 4 8 R W 5 0 c n k g V H l w Z T 0 i R m l s b F N 0 Y X R 1 c y I g V m F s d W U 9 I n N D b 2 1 w b G V 0 Z S I g L z 4 8 R W 5 0 c n k g V H l w Z T 0 i T m F 2 a W d h d G l v b l N 0 Z X B O Y W 1 l I i B W Y W x 1 Z T 0 i c 0 5 h d m l n Y X R p b 2 4 i I C 8 + P E V u d H J 5 I F R 5 c G U 9 I l F 1 Z X J 5 S U Q i I F Z h b H V l P S J z Z T V j M z Y 3 Z W I t M G M 2 M i 0 0 M T J j L T l m Z W Y t Z W N m Z T g w N z I y Y T V l I i A v P j x F b n R y e S B U e X B l P S J S Z W x h d G l v b n N o a X B J b m Z v Q 2 9 u d G F p b m V y I i B W Y W x 1 Z T 0 i c 3 s m c X V v d D t j b 2 x 1 b W 5 D b 3 V u d C Z x d W 9 0 O z o 1 L C Z x d W 9 0 O 2 t l e U N v b H V t b k 5 h b W V z J n F 1 b 3 Q 7 O l t d L C Z x d W 9 0 O 3 F 1 Z X J 5 U m V s Y X R p b 2 5 z a G l w c y Z x d W 9 0 O z p b X S w m c X V v d D t j b 2 x 1 b W 5 J Z G V u d G l 0 a W V z J n F 1 b 3 Q 7 O l s m c X V v d D t T Z W N 0 a W 9 u M S 9 j d X N 0 c y 9 D a G F u Z 2 V k I F R 5 c G U u e 0 N 1 c 3 R v b W V y L D B 9 J n F 1 b 3 Q 7 L C Z x d W 9 0 O 1 N l Y 3 R p b 2 4 x L 2 N 1 c 3 R z L 0 N o Y W 5 n Z W Q g V H l w Z S 5 7 R 2 V u Z G V y L D F 9 J n F 1 b 3 Q 7 L C Z x d W 9 0 O 1 N l Y 3 R p b 2 4 x L 2 N 1 c 3 R z L 0 N o Y W 5 n Z W Q g V H l w Z S 5 7 Q W d l L D J 9 J n F 1 b 3 Q 7 L C Z x d W 9 0 O 1 N l Y 3 R p b 2 4 x L 2 N 1 c 3 R z L 0 N o Y W 5 n Z W Q g V H l w Z S 5 7 R W R 1 Y 2 F 0 a W 9 u L D N 9 J n F 1 b 3 Q 7 L C Z x d W 9 0 O 1 N l Y 3 R p b 2 4 x L 2 N 1 c 3 R z L 0 F k Z G V k I E N v b m R p d G l v b m F s I E N v b H V t b i 5 7 Q W d l I E d y b 3 V w a W 5 n L D R 9 J n F 1 b 3 Q 7 X S w m c X V v d D t D b 2 x 1 b W 5 D b 3 V u d C Z x d W 9 0 O z o 1 L C Z x d W 9 0 O 0 t l e U N v b H V t b k 5 h b W V z J n F 1 b 3 Q 7 O l t d L C Z x d W 9 0 O 0 N v b H V t b k l k Z W 5 0 a X R p Z X M m c X V v d D s 6 W y Z x d W 9 0 O 1 N l Y 3 R p b 2 4 x L 2 N 1 c 3 R z L 0 N o Y W 5 n Z W Q g V H l w Z S 5 7 Q 3 V z d G 9 t Z X I s M H 0 m c X V v d D s s J n F 1 b 3 Q 7 U 2 V j d G l v b j E v Y 3 V z d H M v Q 2 h h b m d l Z C B U e X B l L n t H Z W 5 k Z X I s M X 0 m c X V v d D s s J n F 1 b 3 Q 7 U 2 V j d G l v b j E v Y 3 V z d H M v Q 2 h h b m d l Z C B U e X B l L n t B Z 2 U s M n 0 m c X V v d D s s J n F 1 b 3 Q 7 U 2 V j d G l v b j E v Y 3 V z d H M v Q 2 h h b m d l Z C B U e X B l L n t F Z H V j Y X R p b 2 4 s M 3 0 m c X V v d D s s J n F 1 b 3 Q 7 U 2 V j d G l v b j E v Y 3 V z d H M v Q W R k Z W Q g Q 2 9 u Z G l 0 a W 9 u Y W w g Q 2 9 s d W 1 u L n t B Z 2 U g R 3 J v d X B p b m c s N H 0 m c X V v d D t d L C Z x d W 9 0 O 1 J l b G F 0 a W 9 u c 2 h p c E l u Z m 8 m c X V v d D s 6 W 1 1 9 I i A v P j w v U 3 R h Y m x l R W 5 0 c m l l c z 4 8 L 0 l 0 Z W 0 + P E l 0 Z W 0 + P E l 0 Z W 1 M b 2 N h d G l v b j 4 8 S X R l b V R 5 c G U + R m 9 y b X V s Y T w v S X R l b V R 5 c G U + P E l 0 Z W 1 Q Y X R o P l N l Y 3 R p b 2 4 x L 2 N 1 c 3 R z L 1 N v d X J j Z T w v S X R l b V B h d G g + P C 9 J d G V t T G 9 j Y X R p b 2 4 + P F N 0 Y W J s Z U V u d H J p Z X M g L z 4 8 L 0 l 0 Z W 0 + P E l 0 Z W 0 + P E l 0 Z W 1 M b 2 N h d G l v b j 4 8 S X R l b V R 5 c G U + R m 9 y b X V s Y T w v S X R l b V R 5 c G U + P E l 0 Z W 1 Q Y X R o P l N l Y 3 R p b 2 4 x L 2 N 1 c 3 R z L 2 N 1 c 3 R z X 1 R h Y m x l P C 9 J d G V t U G F 0 a D 4 8 L 0 l 0 Z W 1 M b 2 N h d G l v b j 4 8 U 3 R h Y m x l R W 5 0 c m l l c y A v P j w v S X R l b T 4 8 S X R l b T 4 8 S X R l b U x v Y 2 F 0 a W 9 u P j x J d G V t V H l w Z T 5 G b 3 J t d W x h P C 9 J d G V t V H l w Z T 4 8 S X R l b V B h d G g + U 2 V j d G l v b j E v Y 3 V z d H M v Q 2 h h b m d l Z C U y M F R 5 c G U 8 L 0 l 0 Z W 1 Q Y X R o P j w v S X R l b U x v Y 2 F 0 a W 9 u P j x T d G F i b G V F b n R y a W V z I C 8 + P C 9 J d G V t P j x J d G V t P j x J d G V t T G 9 j Y X R p b 2 4 + P E l 0 Z W 1 U e X B l P k Z v c m 1 1 b G E 8 L 0 l 0 Z W 1 U e X B l P j x J d G V t U G F 0 a D 5 T Z W N 0 a W 9 u M S 9 y Z X B 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s Y X R p b 2 5 z a G l w S W 5 m b 0 N v b n R h a W 5 l c i I g V m F s d W U 9 I n N 7 J n F 1 b 3 Q 7 Y 2 9 s d W 1 u Q 2 9 1 b n Q m c X V v d D s 6 M y w m c X V v d D t r Z X l D b 2 x 1 b W 5 O Y W 1 l c y Z x d W 9 0 O z p b X S w m c X V v d D t x d W V y e V J l b G F 0 a W 9 u c 2 h p c H M m c X V v d D s 6 W 1 0 s J n F 1 b 3 Q 7 Y 2 9 s d W 1 u S W R l b n R p d G l l c y Z x d W 9 0 O z p b J n F 1 b 3 Q 7 U 2 V j d G l v b j E v c m V w c y 9 D a G F u Z 2 V k I F R 5 c G U u e 1 J l c C w w f S Z x d W 9 0 O y w m c X V v d D t T Z W N 0 a W 9 u M S 9 y Z X B z L 0 N o Y W 5 n Z W Q g V H l w Z S 5 7 R G V w Y X J 0 b W V u d C w x f S Z x d W 9 0 O y w m c X V v d D t T Z W N 0 a W 9 u M S 9 y Z X B z L 0 N o Y W 5 n Z W Q g V H l w Z S 5 7 T W F u Y W d l c i w y f S Z x d W 9 0 O 1 0 s J n F 1 b 3 Q 7 Q 2 9 s d W 1 u Q 2 9 1 b n Q m c X V v d D s 6 M y w m c X V v d D t L Z X l D b 2 x 1 b W 5 O Y W 1 l c y Z x d W 9 0 O z p b X S w m c X V v d D t D b 2 x 1 b W 5 J Z G V u d G l 0 a W V z J n F 1 b 3 Q 7 O l s m c X V v d D t T Z W N 0 a W 9 u M S 9 y Z X B z L 0 N o Y W 5 n Z W Q g V H l w Z S 5 7 U m V w L D B 9 J n F 1 b 3 Q 7 L C Z x d W 9 0 O 1 N l Y 3 R p b 2 4 x L 3 J l c H M v Q 2 h h b m d l Z C B U e X B l L n t E Z X B h c n R t Z W 5 0 L D F 9 J n F 1 b 3 Q 7 L C Z x d W 9 0 O 1 N l Y 3 R p b 2 4 x L 3 J l c H M v Q 2 h h b m d l Z C B U e X B l L n t N Y W 5 h Z 2 V y L D J 9 J n F 1 b 3 Q 7 X S w m c X V v d D t S Z W x h d G l v b n N o a X B J b m Z v J n F 1 b 3 Q 7 O l t d f S I g L z 4 8 R W 5 0 c n k g V H l w Z T 0 i R m l s b F N 0 Y X R 1 c y I g V m F s d W U 9 I n N D b 2 1 w b G V 0 Z S I g L z 4 8 R W 5 0 c n k g V H l w Z T 0 i R m l s b E N v b H V t b k 5 h b W V z I i B W Y W x 1 Z T 0 i c 1 s m c X V v d D t S Z X A m c X V v d D s s J n F 1 b 3 Q 7 R G V w Y X J 0 b W V u d C Z x d W 9 0 O y w m c X V v d D t N Y W 5 h Z 2 V y J n F 1 b 3 Q 7 X S I g L z 4 8 R W 5 0 c n k g V H l w Z T 0 i R m l s b E N v b H V t b l R 5 c G V z I i B W Y W x 1 Z T 0 i c 0 J n W U c i I C 8 + P E V u d H J 5 I F R 5 c G U 9 I k Z p b G x M Y X N 0 V X B k Y X R l Z C I g V m F s d W U 9 I m Q y M D I y L T A 4 L T A 0 V D E 0 O j M 0 O j M 5 L j Y w N T Y z M j F a I i A v P j x F b n R y e S B U e X B l P S J G a W x s R X J y b 3 J D b 3 V u d C I g V m F s d W U 9 I m w w I i A v P j x F b n R y e S B U e X B l P S J G a W x s R X J y b 3 J D b 2 R l I i B W Y W x 1 Z T 0 i c 1 V u a 2 5 v d 2 4 i I C 8 + P E V u d H J 5 I F R 5 c G U 9 I k Z p b G x D b 3 V u d C I g V m F s d W U 9 I m w 3 I i A v P j x F b n R y e S B U e X B l P S J B Z G R l Z F R v R G F 0 Y U 1 v Z G V s I i B W Y W x 1 Z T 0 i b D E i I C 8 + P C 9 T d G F i b G V F b n R y a W V z P j w v S X R l b T 4 8 S X R l b T 4 8 S X R l b U x v Y 2 F 0 a W 9 u P j x J d G V t V H l w Z T 5 G b 3 J t d W x h P C 9 J d G V t V H l w Z T 4 8 S X R l b V B h d G g + U 2 V j d G l v b j E v c m V w c y 9 T b 3 V y Y 2 U 8 L 0 l 0 Z W 1 Q Y X R o P j w v S X R l b U x v Y 2 F 0 a W 9 u P j x T d G F i b G V F b n R y a W V z I C 8 + P C 9 J d G V t P j x J d G V t P j x J d G V t T G 9 j Y X R p b 2 4 + P E l 0 Z W 1 U e X B l P k Z v c m 1 1 b G E 8 L 0 l 0 Z W 1 U e X B l P j x J d G V t U G F 0 a D 5 T Z W N 0 a W 9 u M S 9 y Z X B z L 3 J l c H N f V G F i b G U 8 L 0 l 0 Z W 1 Q Y X R o P j w v S X R l b U x v Y 2 F 0 a W 9 u P j x T d G F i b G V F b n R y a W V z I C 8 + P C 9 J d G V t P j x J d G V t P j x J d G V t T G 9 j Y X R p b 2 4 + P E l 0 Z W 1 U e X B l P k Z v c m 1 1 b G E 8 L 0 l 0 Z W 1 U e X B l P j x J d G V t U G F 0 a D 5 T Z W N 0 a W 9 u M S 9 y Z X B z L 0 N o Y W 5 n Z W Q l M j B U e X B l P C 9 J d G V t U G F 0 a D 4 8 L 0 l 0 Z W 1 M b 2 N h d G l v b j 4 8 U 3 R h Y m x l R W 5 0 c m l l c y A v P j w v S X R l b T 4 8 S X R l b T 4 8 S X R l b U x v Y 2 F 0 a W 9 u P j x J d G V t V H l w Z T 5 G b 3 J t d W x h P C 9 J d G V t V H l w Z T 4 8 S X R l b V B h d G g + U 2 V j d G l v b j E v Y 2 F s b H M v Q 2 h h b m d l Z C U y M F R 5 c G U 8 L 0 l 0 Z W 1 Q Y X R o P j w v S X R l b U x v Y 2 F 0 a W 9 u P j x T d G F i b G V F b n R y a W V z I C 8 + P C 9 J d G V t P j x J d G V t P j x J d G V t T G 9 j Y X R p b 2 4 + P E l 0 Z W 1 U e X B l P k Z v c m 1 1 b G E 8 L 0 l 0 Z W 1 U e X B l P j x J d G V t U G F 0 a D 5 T Z W N 0 a W 9 u M S 8 y M D E 4 L W 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0 V D E 0 O j M z O j M 4 L j k 4 O D M w M T Z a I i A v P j x F b n R y e S B U e X B l P S J G a W x s U 3 R h d H V z I i B W Y W x 1 Z T 0 i c 0 N v b X B s Z X R l I i A v P j w v U 3 R h Y m x l R W 5 0 c m l l c z 4 8 L 0 l 0 Z W 0 + P E l 0 Z W 0 + P E l 0 Z W 1 M b 2 N h d G l v b j 4 8 S X R l b V R 5 c G U + R m 9 y b X V s Y T w v S X R l b V R 5 c G U + P E l 0 Z W 1 Q Y X R o P l N l Y 3 R p b 2 4 x L z I w M T g t Z G F 0 Y S 9 T b 3 V y Y 2 U 8 L 0 l 0 Z W 1 Q Y X R o P j w v S X R l b U x v Y 2 F 0 a W 9 u P j x T d G F i b G V F b n R y a W V z I C 8 + P C 9 J d G V t P j x J d G V t P j x J d G V t T G 9 j Y X R p b 2 4 + P E l 0 Z W 1 U e X B l P k Z v c m 1 1 b G E 8 L 0 l 0 Z W 1 U e X B l P j x J d G V t U G F 0 a D 5 T Z W N 0 a W 9 u M S 8 y M D E 4 L W R h d G E v U H J v b W 9 0 Z W Q l M j B I Z W F k Z X J z P C 9 J d G V t U G F 0 a D 4 8 L 0 l 0 Z W 1 M b 2 N h d G l v b j 4 8 U 3 R h Y m x l R W 5 0 c m l l c y A v P j w v S X R l b T 4 8 S X R l b T 4 8 S X R l b U x v Y 2 F 0 a W 9 u P j x J d G V t V H l w Z T 5 G b 3 J t d W x h P C 9 J d G V t V H l w Z T 4 8 S X R l b V B h d G g + U 2 V j d G l v b j E v M j A x O C 1 k Y X R h L 0 N o Y W 5 n Z W Q l M j B U e X B l P C 9 J d G V t U G F 0 a D 4 8 L 0 l 0 Z W 1 M b 2 N h d G l v b j 4 8 U 3 R h Y m x l R W 5 0 c m l l c y A v P j w v S X R l b T 4 8 S X R l b T 4 8 S X R l b U x v Y 2 F 0 a W 9 u P j x J d G V t V H l w Z T 5 G b 3 J t d W x h P C 9 J d G V t V H l w Z T 4 8 S X R l b V B h d G g + U 2 V j d G l v b j E v Y 2 F s b H M v Q X B w Z W 5 k Z W Q l M j B R d W V y e T w v S X R l b V B h d G g + P C 9 J d G V t T G 9 j Y X R p b 2 4 + P F N 0 Y W J s Z U V u d H J p Z X M g L z 4 8 L 0 l 0 Z W 0 + P E l 0 Z W 0 + P E l 0 Z W 1 M b 2 N h d G l v b j 4 8 S X R l b V R 5 c G U + R m 9 y b X V s Y T w v S X R l b V R 5 c G U + P E l 0 Z W 1 Q Y X R o P l N l Y 3 R p b 2 4 x L 2 N h b G x z L 0 l u c 2 V y d G V k J T I w W W V h c j w v S X R l b V B h d G g + P C 9 J d G V t T G 9 j Y X R p b 2 4 + P F N 0 Y W J s Z U V u d H J p Z X M g L z 4 8 L 0 l 0 Z W 0 + P E l 0 Z W 0 + P E l 0 Z W 1 M b 2 N h d G l v b j 4 8 S X R l b V R 5 c G U + R m 9 y b X V s Y T w v S X R l b V R 5 c G U + P E l 0 Z W 1 Q Y X R o P l N l Y 3 R p b 2 4 x L 2 N h b G x z L 0 l u c 2 V y d G V k J T I w T W 9 u d G g 8 L 0 l 0 Z W 1 Q Y X R o P j w v S X R l b U x v Y 2 F 0 a W 9 u P j x T d G F i b G V F b n R y a W V z I C 8 + P C 9 J d G V t P j x J d G V t P j x J d G V t T G 9 j Y X R p b 2 4 + P E l 0 Z W 1 U e X B l P k Z v c m 1 1 b G E 8 L 0 l 0 Z W 1 U e X B l P j x J d G V t U G F 0 a D 5 T Z W N 0 a W 9 u M S 9 j Y W x s c y 9 J b n N l c n R l Z C U y M E 1 v b n R o J T I w T m F t Z T w v S X R l b V B h d G g + P C 9 J d G V t T G 9 j Y X R p b 2 4 + P F N 0 Y W J s Z U V u d H J p Z X M g L z 4 8 L 0 l 0 Z W 0 + P E l 0 Z W 0 + P E l 0 Z W 1 M b 2 N h d G l v b j 4 8 S X R l b V R 5 c G U + R m 9 y b X V s Y T w v S X R l b V R 5 c G U + P E l 0 Z W 1 Q Y X R o P l N l Y 3 R p b 2 4 x L 2 N 1 c 3 R z L 0 F k Z G V k J T I w Q 2 9 u Z G l 0 a W 9 u Y W w l M j B D b 2 x 1 b W 4 8 L 0 l 0 Z W 1 Q Y X R o P j w v S X R l b U x v Y 2 F 0 a W 9 u P j x T d G F i b G V F b n R y a W V z I C 8 + P C 9 J d G V t P j w v S X R l b X M + P C 9 M b 2 N h b F B h Y 2 t h Z 2 V N Z X R h Z G F 0 Y U Z p b G U + F g A A A F B L B Q Y A A A A A A A A A A A A A A A A A A A A A A A A m A Q A A A Q A A A N C M n d 8 B F d E R j H o A w E / C l + s B A A A A Y 8 B p k f G 2 G 0 O c 8 V T k W d k O E A A A A A A C A A A A A A A Q Z g A A A A E A A C A A A A B o P g P A 8 T J j U G W w D M Y o P I R A K R U t 6 J k Y 9 G Z B D l x R k I R j C A A A A A A O g A A A A A I A A C A A A A D l R D 4 w v L 9 f I E 4 Q E L 1 5 C g Z Q 4 c M P T j L 1 J T d S k r 7 + z X i 3 y F A A A A C s X D o Q i u u G T T 6 5 l w u T O s u c b A H 1 o B l c u 3 y c + R s l j F G 3 g c a A C e i u J 4 y Y J 3 o U b z F 3 d a / 2 N p / g 6 s Y Q + 4 e i 8 i 5 k w I b h e s i 6 + C G d a o m f v b x p W p J Y 7 E A A A A A 5 4 r N u Z l 9 B R 7 Z x T h m S r X y 8 o s M A w 0 L e Q M f d 1 Z y s q h 7 Y p k Y / Q l U c h q V Z S I q S h W D s 3 i G s 4 x j 8 o 6 T z G R w / p T W Q y Y 9 a < / D a t a M a s h u p > 
</file>

<file path=customXml/itemProps1.xml><?xml version="1.0" encoding="utf-8"?>
<ds:datastoreItem xmlns:ds="http://schemas.openxmlformats.org/officeDocument/2006/customXml" ds:itemID="{22A2FB5F-A351-4F0E-BAA4-818902BD8F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Dashboard</vt:lpstr>
      <vt:lpstr>Pivots for Dashboard</vt:lpstr>
      <vt:lpstr>trend.choice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ID</dc:creator>
  <cp:lastModifiedBy>USER ID</cp:lastModifiedBy>
  <cp:lastPrinted>2022-08-06T10:04:08Z</cp:lastPrinted>
  <dcterms:created xsi:type="dcterms:W3CDTF">2022-08-04T14:14:52Z</dcterms:created>
  <dcterms:modified xsi:type="dcterms:W3CDTF">2022-08-06T10:25:35Z</dcterms:modified>
</cp:coreProperties>
</file>