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2" windowWidth="16608" windowHeight="7932" tabRatio="757" firstSheet="1" activeTab="1"/>
  </bookViews>
  <sheets>
    <sheet name="03.2012" sheetId="3" state="hidden" r:id="rId1"/>
    <sheet name="1677022(ผิด)" sheetId="27" r:id="rId2"/>
    <sheet name="2007401(ผิด)" sheetId="29" r:id="rId3"/>
    <sheet name="01715608(ผิด) " sheetId="31" r:id="rId4"/>
    <sheet name="1422321(ถูก) " sheetId="30" r:id="rId5"/>
  </sheets>
  <calcPr calcId="125725"/>
</workbook>
</file>

<file path=xl/calcChain.xml><?xml version="1.0" encoding="utf-8"?>
<calcChain xmlns="http://schemas.openxmlformats.org/spreadsheetml/2006/main">
  <c r="W78" i="31"/>
  <c r="W74"/>
  <c r="Z79"/>
  <c r="Z80" s="1"/>
  <c r="Z86"/>
  <c r="W77"/>
  <c r="O19"/>
  <c r="O22" s="1"/>
  <c r="Z15"/>
  <c r="O14"/>
  <c r="O16" s="1"/>
  <c r="O20" s="1"/>
  <c r="E14"/>
  <c r="E16" s="1"/>
  <c r="W7"/>
  <c r="W14" s="1"/>
  <c r="W16" s="1"/>
  <c r="L7"/>
  <c r="E7"/>
  <c r="W6"/>
  <c r="M6"/>
  <c r="L6"/>
  <c r="L14" s="1"/>
  <c r="L16" s="1"/>
  <c r="E6"/>
  <c r="L3"/>
  <c r="W74" i="30"/>
  <c r="W78" s="1"/>
  <c r="Z79"/>
  <c r="Z78"/>
  <c r="Z80" s="1"/>
  <c r="Z86"/>
  <c r="W7"/>
  <c r="W6"/>
  <c r="W77"/>
  <c r="O19"/>
  <c r="O22" s="1"/>
  <c r="O16"/>
  <c r="O20" s="1"/>
  <c r="Z15"/>
  <c r="O14"/>
  <c r="L7"/>
  <c r="E7"/>
  <c r="M6"/>
  <c r="L6" s="1"/>
  <c r="L14" s="1"/>
  <c r="L16" s="1"/>
  <c r="E6"/>
  <c r="E14" s="1"/>
  <c r="E16" s="1"/>
  <c r="L3"/>
  <c r="AA88" i="27"/>
  <c r="W81" s="1"/>
  <c r="AA94"/>
  <c r="W84"/>
  <c r="W85" s="1"/>
  <c r="W92" s="1"/>
  <c r="Z80" i="29"/>
  <c r="Z86"/>
  <c r="W78" s="1"/>
  <c r="W85" s="1"/>
  <c r="W87" s="1"/>
  <c r="W77"/>
  <c r="O19"/>
  <c r="Z15"/>
  <c r="O14"/>
  <c r="O16" s="1"/>
  <c r="O20" s="1"/>
  <c r="E7"/>
  <c r="W6"/>
  <c r="M6"/>
  <c r="E6"/>
  <c r="E14" s="1"/>
  <c r="E16" s="1"/>
  <c r="D25" s="1"/>
  <c r="E25" s="1"/>
  <c r="L3"/>
  <c r="W85" i="31" l="1"/>
  <c r="W87"/>
  <c r="V94" s="1"/>
  <c r="W94" s="1"/>
  <c r="V20"/>
  <c r="W20" s="1"/>
  <c r="V26"/>
  <c r="W26" s="1"/>
  <c r="V24"/>
  <c r="W24" s="1"/>
  <c r="V22"/>
  <c r="W22" s="1"/>
  <c r="V19"/>
  <c r="W19" s="1"/>
  <c r="W27" s="1"/>
  <c r="W28" s="1"/>
  <c r="W31" s="1"/>
  <c r="V21"/>
  <c r="W21" s="1"/>
  <c r="V25"/>
  <c r="W25" s="1"/>
  <c r="V23"/>
  <c r="W23" s="1"/>
  <c r="K21"/>
  <c r="L21" s="1"/>
  <c r="K25"/>
  <c r="L25" s="1"/>
  <c r="K23"/>
  <c r="L23" s="1"/>
  <c r="K20"/>
  <c r="L20" s="1"/>
  <c r="K19"/>
  <c r="K22"/>
  <c r="L22" s="1"/>
  <c r="O27" s="1"/>
  <c r="P29" s="1"/>
  <c r="K26"/>
  <c r="L26" s="1"/>
  <c r="K24"/>
  <c r="L24" s="1"/>
  <c r="V91"/>
  <c r="W91" s="1"/>
  <c r="P30"/>
  <c r="P33" s="1"/>
  <c r="D22"/>
  <c r="E22" s="1"/>
  <c r="D26"/>
  <c r="E26" s="1"/>
  <c r="D24"/>
  <c r="E24" s="1"/>
  <c r="D21"/>
  <c r="E21" s="1"/>
  <c r="D19"/>
  <c r="D25"/>
  <c r="E25" s="1"/>
  <c r="D23"/>
  <c r="E23" s="1"/>
  <c r="D20"/>
  <c r="E20" s="1"/>
  <c r="E27" s="1"/>
  <c r="E28" s="1"/>
  <c r="W85" i="30"/>
  <c r="W87" s="1"/>
  <c r="V94" s="1"/>
  <c r="W94" s="1"/>
  <c r="W14"/>
  <c r="W16" s="1"/>
  <c r="V22" s="1"/>
  <c r="W22" s="1"/>
  <c r="K25"/>
  <c r="L25" s="1"/>
  <c r="K23"/>
  <c r="L23" s="1"/>
  <c r="K20"/>
  <c r="L20" s="1"/>
  <c r="K26"/>
  <c r="L26" s="1"/>
  <c r="K24"/>
  <c r="L24" s="1"/>
  <c r="K19"/>
  <c r="K21"/>
  <c r="L21" s="1"/>
  <c r="K22"/>
  <c r="L22" s="1"/>
  <c r="O27" s="1"/>
  <c r="P29" s="1"/>
  <c r="D26"/>
  <c r="E26" s="1"/>
  <c r="D24"/>
  <c r="E24" s="1"/>
  <c r="D25"/>
  <c r="E25" s="1"/>
  <c r="D23"/>
  <c r="E23" s="1"/>
  <c r="D22"/>
  <c r="E22" s="1"/>
  <c r="D21"/>
  <c r="E21" s="1"/>
  <c r="D19"/>
  <c r="D20"/>
  <c r="E20" s="1"/>
  <c r="P30"/>
  <c r="P33" s="1"/>
  <c r="AA100" i="27"/>
  <c r="W94"/>
  <c r="V103" s="1"/>
  <c r="W103" s="1"/>
  <c r="O22" i="29"/>
  <c r="V93"/>
  <c r="W93" s="1"/>
  <c r="V96"/>
  <c r="W96" s="1"/>
  <c r="V94"/>
  <c r="W94" s="1"/>
  <c r="V92"/>
  <c r="W92" s="1"/>
  <c r="V90"/>
  <c r="W90" s="1"/>
  <c r="V97"/>
  <c r="W97" s="1"/>
  <c r="V95"/>
  <c r="W95" s="1"/>
  <c r="V91"/>
  <c r="W91" s="1"/>
  <c r="D21"/>
  <c r="E21" s="1"/>
  <c r="W7"/>
  <c r="W14" s="1"/>
  <c r="W16" s="1"/>
  <c r="D26"/>
  <c r="E26" s="1"/>
  <c r="L6"/>
  <c r="L7"/>
  <c r="D22"/>
  <c r="E22" s="1"/>
  <c r="D19"/>
  <c r="D24"/>
  <c r="E24" s="1"/>
  <c r="D20"/>
  <c r="E20" s="1"/>
  <c r="D23"/>
  <c r="E23" s="1"/>
  <c r="V92" i="31" l="1"/>
  <c r="W92" s="1"/>
  <c r="V93"/>
  <c r="W93" s="1"/>
  <c r="V90"/>
  <c r="W90" s="1"/>
  <c r="V97"/>
  <c r="W97" s="1"/>
  <c r="V96"/>
  <c r="W96" s="1"/>
  <c r="V95"/>
  <c r="W95" s="1"/>
  <c r="W98" s="1"/>
  <c r="W99" s="1"/>
  <c r="W102" s="1"/>
  <c r="L27"/>
  <c r="L28" s="1"/>
  <c r="V93" i="30"/>
  <c r="W93" s="1"/>
  <c r="V92"/>
  <c r="W92" s="1"/>
  <c r="V91"/>
  <c r="W91" s="1"/>
  <c r="V96"/>
  <c r="W96" s="1"/>
  <c r="V97"/>
  <c r="W97" s="1"/>
  <c r="V90"/>
  <c r="W90" s="1"/>
  <c r="V95"/>
  <c r="W95" s="1"/>
  <c r="V21"/>
  <c r="W21" s="1"/>
  <c r="V19"/>
  <c r="W19" s="1"/>
  <c r="V26"/>
  <c r="W26" s="1"/>
  <c r="V23"/>
  <c r="W23" s="1"/>
  <c r="V24"/>
  <c r="W24" s="1"/>
  <c r="V25"/>
  <c r="W25" s="1"/>
  <c r="V20"/>
  <c r="W20" s="1"/>
  <c r="L27"/>
  <c r="L28" s="1"/>
  <c r="E27"/>
  <c r="E28" s="1"/>
  <c r="V97" i="27"/>
  <c r="W97" s="1"/>
  <c r="V98"/>
  <c r="W98" s="1"/>
  <c r="V99"/>
  <c r="W99" s="1"/>
  <c r="V102"/>
  <c r="W102" s="1"/>
  <c r="V104"/>
  <c r="W104" s="1"/>
  <c r="V101"/>
  <c r="W101" s="1"/>
  <c r="V100"/>
  <c r="W100" s="1"/>
  <c r="W98" i="29"/>
  <c r="W99" s="1"/>
  <c r="W102" s="1"/>
  <c r="V25"/>
  <c r="W25" s="1"/>
  <c r="V23"/>
  <c r="W23" s="1"/>
  <c r="V26"/>
  <c r="W26" s="1"/>
  <c r="V22"/>
  <c r="W22" s="1"/>
  <c r="V19"/>
  <c r="W19" s="1"/>
  <c r="V21"/>
  <c r="W21" s="1"/>
  <c r="V20"/>
  <c r="W20" s="1"/>
  <c r="V24"/>
  <c r="W24" s="1"/>
  <c r="L14"/>
  <c r="L16" s="1"/>
  <c r="E27"/>
  <c r="E28" s="1"/>
  <c r="W98" i="30" l="1"/>
  <c r="W99" s="1"/>
  <c r="W102" s="1"/>
  <c r="W27"/>
  <c r="W28" s="1"/>
  <c r="W31" s="1"/>
  <c r="W105" i="27"/>
  <c r="W106" s="1"/>
  <c r="W109" s="1"/>
  <c r="W112" s="1"/>
  <c r="W27" i="29"/>
  <c r="W28" s="1"/>
  <c r="W31" s="1"/>
  <c r="K26"/>
  <c r="L26" s="1"/>
  <c r="K24"/>
  <c r="L24" s="1"/>
  <c r="K19"/>
  <c r="K25"/>
  <c r="L25" s="1"/>
  <c r="K20"/>
  <c r="L20" s="1"/>
  <c r="K21"/>
  <c r="L21" s="1"/>
  <c r="K23"/>
  <c r="L23" s="1"/>
  <c r="K22"/>
  <c r="L22" s="1"/>
  <c r="O27" s="1"/>
  <c r="P29" s="1"/>
  <c r="P30" s="1"/>
  <c r="L27" l="1"/>
  <c r="L28" s="1"/>
  <c r="P33"/>
  <c r="Z15" i="27" l="1"/>
  <c r="AB9"/>
  <c r="Z8"/>
  <c r="Z9" s="1"/>
  <c r="W6" l="1"/>
  <c r="W7" s="1"/>
  <c r="O19"/>
  <c r="O14"/>
  <c r="O16" s="1"/>
  <c r="O20" s="1"/>
  <c r="E7"/>
  <c r="M6"/>
  <c r="E6"/>
  <c r="L3"/>
  <c r="L7" s="1"/>
  <c r="W14" l="1"/>
  <c r="W16" s="1"/>
  <c r="E14"/>
  <c r="E16" s="1"/>
  <c r="D20" s="1"/>
  <c r="E20" s="1"/>
  <c r="L6"/>
  <c r="L14" s="1"/>
  <c r="L16" s="1"/>
  <c r="O22"/>
  <c r="E16" i="3"/>
  <c r="B16"/>
  <c r="E4"/>
  <c r="D22" i="27" l="1"/>
  <c r="E22" s="1"/>
  <c r="K25"/>
  <c r="L25" s="1"/>
  <c r="K26"/>
  <c r="L26" s="1"/>
  <c r="D25"/>
  <c r="E25" s="1"/>
  <c r="D23"/>
  <c r="E23" s="1"/>
  <c r="D19"/>
  <c r="D24"/>
  <c r="E24" s="1"/>
  <c r="D21"/>
  <c r="E21" s="1"/>
  <c r="D26"/>
  <c r="E26" s="1"/>
  <c r="K19"/>
  <c r="K22"/>
  <c r="L22" s="1"/>
  <c r="O27" s="1"/>
  <c r="P29" s="1"/>
  <c r="P30" s="1"/>
  <c r="P33" s="1"/>
  <c r="K24"/>
  <c r="L24" s="1"/>
  <c r="K21"/>
  <c r="L21" s="1"/>
  <c r="K23"/>
  <c r="L23" s="1"/>
  <c r="K20"/>
  <c r="L20" s="1"/>
  <c r="E27" l="1"/>
  <c r="E28" s="1"/>
  <c r="L27"/>
  <c r="L28" s="1"/>
  <c r="V25"/>
  <c r="W25" s="1"/>
  <c r="V20"/>
  <c r="W20" s="1"/>
  <c r="V21"/>
  <c r="W21" s="1"/>
  <c r="V19"/>
  <c r="W19" s="1"/>
  <c r="V24"/>
  <c r="W24" s="1"/>
  <c r="V22"/>
  <c r="W22" s="1"/>
  <c r="V23"/>
  <c r="W23" s="1"/>
  <c r="V26"/>
  <c r="W26" s="1"/>
  <c r="W27" l="1"/>
  <c r="W28" s="1"/>
  <c r="W31" s="1"/>
  <c r="W35" s="1"/>
  <c r="E20" i="3"/>
  <c r="B18"/>
  <c r="B20" s="1"/>
  <c r="B23" s="1"/>
  <c r="B25" s="1"/>
  <c r="B27" s="1"/>
  <c r="E5"/>
  <c r="E18" s="1"/>
  <c r="E21" s="1"/>
  <c r="E28" l="1"/>
  <c r="E30" s="1"/>
  <c r="E23"/>
  <c r="E31" l="1"/>
  <c r="E34" s="1"/>
</calcChain>
</file>

<file path=xl/sharedStrings.xml><?xml version="1.0" encoding="utf-8"?>
<sst xmlns="http://schemas.openxmlformats.org/spreadsheetml/2006/main" count="453" uniqueCount="78">
  <si>
    <t>เงินได้ปกติ</t>
  </si>
  <si>
    <t>ค่าลดหย่อน</t>
  </si>
  <si>
    <t>เงินได้พิเศษ</t>
  </si>
  <si>
    <t>รวมรายได้</t>
  </si>
  <si>
    <t xml:space="preserve"> Self Allowance</t>
  </si>
  <si>
    <t xml:space="preserve"> เงินล่วงหน้ากองทุนสำรองเลี้ยงชีพ</t>
  </si>
  <si>
    <t xml:space="preserve">ฐานคำนวณภาษี </t>
  </si>
  <si>
    <t>0 - 150000</t>
  </si>
  <si>
    <t>150001-500000</t>
  </si>
  <si>
    <t>500001-1000000</t>
  </si>
  <si>
    <t>ภาษีรายได้ประจำ</t>
  </si>
  <si>
    <t>ภาษีรายได้รวม</t>
  </si>
  <si>
    <t>รายได้ปกติ</t>
  </si>
  <si>
    <t>รายได้รวมทั้งหมด</t>
  </si>
  <si>
    <t>ภาษีเงินอื่นๆ = ภาษีรายได้รวม - ภาษีรายได้ประจำ</t>
  </si>
  <si>
    <t>ภาษีรายได้ประจำคงเหลือ</t>
  </si>
  <si>
    <t>ภาษีในงวดนี้ = ภาษีปกติต่อเดือน + ภาษีเงินอื่น</t>
  </si>
  <si>
    <t>ภาษีที่จ่ายไปแล้วในเดือน 01.2012 + 02.2012</t>
  </si>
  <si>
    <t>ต่อเดือน (ภาษี /จำนวนเดือนที่เหลือ)</t>
  </si>
  <si>
    <t>ภาษีเงินอื่นๆที่จ่ายไปแล้ว</t>
  </si>
  <si>
    <t>03/2012</t>
  </si>
  <si>
    <t xml:space="preserve"> การลดตามมาตรฐานปกติ</t>
  </si>
  <si>
    <t xml:space="preserve"> Spouse Allowance</t>
  </si>
  <si>
    <t xml:space="preserve"> ค่าเลี้ยงดูบุตร</t>
  </si>
  <si>
    <t xml:space="preserve"> Education Allowance</t>
  </si>
  <si>
    <t xml:space="preserve"> ค่าลดหย่อนของมารดา</t>
  </si>
  <si>
    <t xml:space="preserve"> ค่าลดหย่อนของมารดาคู่สมรส</t>
  </si>
  <si>
    <t xml:space="preserve"> 265777 นาย สมชัย กลางถิ</t>
  </si>
  <si>
    <t>ลดหย่อนตนเอง</t>
  </si>
  <si>
    <t>การลดตามมาตรฐานปกติ</t>
  </si>
  <si>
    <t>กองทุนบำนาญ</t>
  </si>
  <si>
    <t>เงินบริจาค</t>
  </si>
  <si>
    <t>เงินบริจาคการศึกษา</t>
  </si>
  <si>
    <t>เงินสะสมกองทุนสำรองเลี้ยงชีพ</t>
  </si>
  <si>
    <t>ดอกเบี้ยเงินกู้เพื่อที่อยู่อาศัย</t>
  </si>
  <si>
    <t>อื่นๆ</t>
  </si>
  <si>
    <t>รวมลดหย่อนทั้งหมด</t>
  </si>
  <si>
    <t>รายได้แต่ละขั้น</t>
  </si>
  <si>
    <t>ยกเว้นภาษี</t>
  </si>
  <si>
    <t>ภาษีทั้งปี</t>
  </si>
  <si>
    <t>ภาษีต่อเดือน</t>
  </si>
  <si>
    <t>ภาษี</t>
  </si>
  <si>
    <t>อัตราภาษี</t>
  </si>
  <si>
    <t>เงินได้สุทธิสูงสุด</t>
  </si>
  <si>
    <t>เงินได้สุทธิต่ำสุด</t>
  </si>
  <si>
    <t>เงินได้สุทธิ</t>
  </si>
  <si>
    <t>เงินได้ทั้งปี</t>
  </si>
  <si>
    <t>ภาษีเก่า</t>
  </si>
  <si>
    <t>ภาษีใหม่</t>
  </si>
  <si>
    <t>รวมภาษีทั้งหมด</t>
  </si>
  <si>
    <t xml:space="preserve">        200,000.00*9</t>
  </si>
  <si>
    <t>ค่าใช้จ่ายส่วนแรก</t>
  </si>
  <si>
    <t xml:space="preserve">ค่าใช้จ่ายส่วนที่สอง  </t>
  </si>
  <si>
    <t xml:space="preserve"> ( 7,000.00 * 28.00 )
</t>
  </si>
  <si>
    <t>ภาษีออกให้</t>
  </si>
  <si>
    <t>เงินเดือนเฉลี่ย * จน.ปี</t>
  </si>
  <si>
    <t>1693 ภาษีพ้นสภาพ</t>
  </si>
  <si>
    <t>1) การคิดภาษีออกให้ทอดแรก  WT1692</t>
  </si>
  <si>
    <t>รหัส :2007401</t>
  </si>
  <si>
    <t>เงินได้ออกจากงาน</t>
  </si>
  <si>
    <t xml:space="preserve"> 1692 ภาษีทอดแรก</t>
  </si>
  <si>
    <t>1607 ตท.พิเศษ-MSP(ออกภาษีให้)</t>
  </si>
  <si>
    <t>2) การคำนวณภาษีออกจากงาน  /469</t>
  </si>
  <si>
    <t xml:space="preserve">เงินได้พิเศษ </t>
  </si>
  <si>
    <t>เงินได้พิเศษ  WT1607 ตท.พิเศษ-MSP(ออกภาษีให้)</t>
  </si>
  <si>
    <t>(WT 1693 มาจาก WT1604 ภาษีทอดแรก-เงินบำเหน็จ  ของการจ่ายนอกรอบ 18.10.2016 - การจ่ายโบนัส)</t>
  </si>
  <si>
    <t>หักภาษีด้วย WT 1693 ภาษีพ้นสภาพ</t>
  </si>
  <si>
    <t>WT1692</t>
  </si>
  <si>
    <t>รวมภาษีทั้งหมด  WT1692</t>
  </si>
  <si>
    <t>รวมภาษีทั้งหมด  /469</t>
  </si>
  <si>
    <t>รหัส :  1677022</t>
  </si>
  <si>
    <t>บำเหน็จ</t>
  </si>
  <si>
    <t>กสช</t>
  </si>
  <si>
    <t>รหัส : 1422321</t>
  </si>
  <si>
    <t>(หักเงินด้วย WT /469 ภาษีเงินชดเชยการเลิกจ้าง ของการจ่ายนอกรอบ 18.10.2016 - การจ่ายโบนัส)</t>
  </si>
  <si>
    <t>หักภาษีด้วย  WT /469 ภาษีเงินชดเชยการเลิกจ้าง</t>
  </si>
  <si>
    <t>เหลือ /469 งวดปัจจุบัน</t>
  </si>
  <si>
    <t>รหัส :01715608</t>
  </si>
</sst>
</file>

<file path=xl/styles.xml><?xml version="1.0" encoding="utf-8"?>
<styleSheet xmlns="http://schemas.openxmlformats.org/spreadsheetml/2006/main">
  <numFmts count="1">
    <numFmt numFmtId="43" formatCode="_-* #,##0.00_-;\-* #,##0.00_-;_-* &quot;-&quot;??_-;_-@_-"/>
  </numFmts>
  <fonts count="10">
    <font>
      <sz val="11"/>
      <color theme="1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b/>
      <sz val="10"/>
      <name val="Arial"/>
      <family val="2"/>
      <charset val="22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4"/>
      <color rgb="FFFF0000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  <font>
      <b/>
      <sz val="11"/>
      <color rgb="FFFF0000"/>
      <name val="Arial"/>
      <family val="2"/>
    </font>
    <font>
      <b/>
      <sz val="14"/>
      <color theme="1"/>
      <name val="Tahoma"/>
      <family val="2"/>
      <scheme val="minor"/>
    </font>
    <font>
      <b/>
      <sz val="14"/>
      <color rgb="FFFF0000"/>
      <name val="Tahoma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4" fontId="0" fillId="0" borderId="0" xfId="0" applyNumberFormat="1"/>
    <xf numFmtId="43" fontId="0" fillId="0" borderId="0" xfId="0" applyNumberFormat="1"/>
    <xf numFmtId="0" fontId="0" fillId="2" borderId="0" xfId="0" applyFill="1"/>
    <xf numFmtId="4" fontId="0" fillId="2" borderId="0" xfId="0" applyNumberFormat="1" applyFill="1"/>
    <xf numFmtId="0" fontId="0" fillId="2" borderId="0" xfId="0" applyFill="1" applyAlignment="1">
      <alignment horizontal="center"/>
    </xf>
    <xf numFmtId="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left"/>
    </xf>
    <xf numFmtId="4" fontId="1" fillId="0" borderId="0" xfId="0" applyNumberFormat="1" applyFont="1"/>
    <xf numFmtId="4" fontId="0" fillId="3" borderId="0" xfId="0" applyNumberFormat="1" applyFill="1"/>
    <xf numFmtId="4" fontId="0" fillId="0" borderId="1" xfId="0" applyNumberFormat="1" applyBorder="1"/>
    <xf numFmtId="4" fontId="0" fillId="0" borderId="2" xfId="0" applyNumberFormat="1" applyBorder="1"/>
    <xf numFmtId="4" fontId="0" fillId="3" borderId="3" xfId="0" applyNumberFormat="1" applyFill="1" applyBorder="1"/>
    <xf numFmtId="4" fontId="0" fillId="0" borderId="0" xfId="0" applyNumberFormat="1" applyBorder="1"/>
    <xf numFmtId="49" fontId="0" fillId="0" borderId="0" xfId="0" applyNumberFormat="1"/>
    <xf numFmtId="4" fontId="0" fillId="0" borderId="0" xfId="0" applyNumberFormat="1" applyAlignment="1">
      <alignment horizontal="center"/>
    </xf>
    <xf numFmtId="4" fontId="0" fillId="0" borderId="0" xfId="0" applyNumberFormat="1" applyFont="1"/>
    <xf numFmtId="0" fontId="0" fillId="0" borderId="0" xfId="0" applyFont="1"/>
    <xf numFmtId="0" fontId="1" fillId="0" borderId="0" xfId="0" applyFont="1"/>
    <xf numFmtId="0" fontId="0" fillId="0" borderId="4" xfId="0" applyBorder="1"/>
    <xf numFmtId="4" fontId="0" fillId="0" borderId="5" xfId="0" applyNumberFormat="1" applyBorder="1"/>
    <xf numFmtId="4" fontId="0" fillId="4" borderId="0" xfId="0" applyNumberFormat="1" applyFill="1"/>
    <xf numFmtId="4" fontId="0" fillId="4" borderId="5" xfId="0" applyNumberFormat="1" applyFill="1" applyBorder="1"/>
    <xf numFmtId="0" fontId="2" fillId="0" borderId="4" xfId="0" applyFont="1" applyBorder="1"/>
    <xf numFmtId="10" fontId="2" fillId="0" borderId="4" xfId="0" applyNumberFormat="1" applyFont="1" applyBorder="1"/>
    <xf numFmtId="4" fontId="0" fillId="0" borderId="4" xfId="0" applyNumberFormat="1" applyFill="1" applyBorder="1"/>
    <xf numFmtId="4" fontId="0" fillId="0" borderId="4" xfId="0" applyNumberFormat="1" applyFill="1" applyBorder="1" applyAlignment="1">
      <alignment horizontal="left"/>
    </xf>
    <xf numFmtId="10" fontId="0" fillId="0" borderId="4" xfId="0" applyNumberFormat="1" applyFont="1" applyBorder="1"/>
    <xf numFmtId="4" fontId="3" fillId="5" borderId="1" xfId="0" applyNumberFormat="1" applyFont="1" applyFill="1" applyBorder="1"/>
    <xf numFmtId="0" fontId="0" fillId="0" borderId="0" xfId="0" applyAlignment="1"/>
    <xf numFmtId="4" fontId="0" fillId="4" borderId="0" xfId="0" applyNumberFormat="1" applyFont="1" applyFill="1"/>
    <xf numFmtId="0" fontId="0" fillId="4" borderId="0" xfId="0" applyFill="1" applyAlignment="1"/>
    <xf numFmtId="4" fontId="1" fillId="3" borderId="0" xfId="0" applyNumberFormat="1" applyFont="1" applyFill="1"/>
    <xf numFmtId="0" fontId="0" fillId="3" borderId="4" xfId="0" applyFill="1" applyBorder="1"/>
    <xf numFmtId="4" fontId="0" fillId="6" borderId="0" xfId="0" applyNumberFormat="1" applyFill="1"/>
    <xf numFmtId="4" fontId="0" fillId="6" borderId="0" xfId="0" applyNumberFormat="1" applyFill="1" applyAlignment="1">
      <alignment horizontal="center"/>
    </xf>
    <xf numFmtId="4" fontId="1" fillId="6" borderId="0" xfId="0" applyNumberFormat="1" applyFont="1" applyFill="1"/>
    <xf numFmtId="0" fontId="0" fillId="6" borderId="0" xfId="0" applyFont="1" applyFill="1"/>
    <xf numFmtId="0" fontId="0" fillId="6" borderId="0" xfId="0" applyFill="1"/>
    <xf numFmtId="0" fontId="5" fillId="0" borderId="0" xfId="0" applyFont="1"/>
    <xf numFmtId="4" fontId="5" fillId="0" borderId="0" xfId="0" applyNumberFormat="1" applyFont="1" applyAlignment="1">
      <alignment horizontal="center"/>
    </xf>
    <xf numFmtId="49" fontId="5" fillId="0" borderId="0" xfId="0" applyNumberFormat="1" applyFont="1"/>
    <xf numFmtId="49" fontId="5" fillId="6" borderId="0" xfId="0" applyNumberFormat="1" applyFont="1" applyFill="1"/>
    <xf numFmtId="4" fontId="0" fillId="0" borderId="4" xfId="0" applyNumberFormat="1" applyBorder="1"/>
    <xf numFmtId="0" fontId="0" fillId="5" borderId="4" xfId="0" applyFill="1" applyBorder="1"/>
    <xf numFmtId="4" fontId="6" fillId="5" borderId="5" xfId="0" applyNumberFormat="1" applyFont="1" applyFill="1" applyBorder="1"/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top"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0" fontId="3" fillId="0" borderId="6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7" fillId="0" borderId="0" xfId="0" applyFont="1" applyAlignment="1">
      <alignment horizontal="center"/>
    </xf>
    <xf numFmtId="4" fontId="0" fillId="3" borderId="4" xfId="0" applyNumberFormat="1" applyFill="1" applyBorder="1" applyAlignment="1">
      <alignment wrapText="1"/>
    </xf>
    <xf numFmtId="0" fontId="6" fillId="0" borderId="0" xfId="0" applyFont="1"/>
    <xf numFmtId="0" fontId="8" fillId="0" borderId="0" xfId="0" applyFont="1"/>
    <xf numFmtId="4" fontId="8" fillId="0" borderId="0" xfId="0" applyNumberFormat="1" applyFont="1"/>
    <xf numFmtId="4" fontId="8" fillId="6" borderId="0" xfId="0" applyNumberFormat="1" applyFont="1" applyFill="1"/>
    <xf numFmtId="0" fontId="0" fillId="0" borderId="0" xfId="0" applyBorder="1"/>
    <xf numFmtId="4" fontId="0" fillId="3" borderId="5" xfId="0" applyNumberFormat="1" applyFill="1" applyBorder="1"/>
    <xf numFmtId="0" fontId="9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37</xdr:row>
      <xdr:rowOff>0</xdr:rowOff>
    </xdr:from>
    <xdr:to>
      <xdr:col>26</xdr:col>
      <xdr:colOff>15240</xdr:colOff>
      <xdr:row>74</xdr:row>
      <xdr:rowOff>99061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6949440"/>
          <a:ext cx="10050780" cy="65836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18</xdr:col>
      <xdr:colOff>43542</xdr:colOff>
      <xdr:row>115</xdr:row>
      <xdr:rowOff>152401</xdr:rowOff>
    </xdr:from>
    <xdr:to>
      <xdr:col>25</xdr:col>
      <xdr:colOff>544285</xdr:colOff>
      <xdr:row>146</xdr:row>
      <xdr:rowOff>159740</xdr:rowOff>
    </xdr:to>
    <xdr:pic>
      <xdr:nvPicPr>
        <xdr:cNvPr id="20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3542" y="21052972"/>
          <a:ext cx="8817429" cy="540665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153</xdr:row>
      <xdr:rowOff>54429</xdr:rowOff>
    </xdr:from>
    <xdr:to>
      <xdr:col>26</xdr:col>
      <xdr:colOff>163285</xdr:colOff>
      <xdr:row>177</xdr:row>
      <xdr:rowOff>130629</xdr:rowOff>
    </xdr:to>
    <xdr:pic>
      <xdr:nvPicPr>
        <xdr:cNvPr id="205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27791229"/>
          <a:ext cx="10199914" cy="425631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36</xdr:row>
      <xdr:rowOff>141515</xdr:rowOff>
    </xdr:from>
    <xdr:to>
      <xdr:col>23</xdr:col>
      <xdr:colOff>1607404</xdr:colOff>
      <xdr:row>68</xdr:row>
      <xdr:rowOff>1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6683829"/>
          <a:ext cx="8117061" cy="543197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23</xdr:col>
      <xdr:colOff>1905000</xdr:colOff>
      <xdr:row>136</xdr:row>
      <xdr:rowOff>84709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8843171"/>
          <a:ext cx="8414657" cy="530985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35</xdr:row>
      <xdr:rowOff>0</xdr:rowOff>
    </xdr:from>
    <xdr:to>
      <xdr:col>24</xdr:col>
      <xdr:colOff>1348740</xdr:colOff>
      <xdr:row>59</xdr:row>
      <xdr:rowOff>76200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6446520"/>
          <a:ext cx="10195560" cy="42824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24</xdr:col>
      <xdr:colOff>1348740</xdr:colOff>
      <xdr:row>127</xdr:row>
      <xdr:rowOff>0</xdr:rowOff>
    </xdr:to>
    <xdr:pic>
      <xdr:nvPicPr>
        <xdr:cNvPr id="51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8836640"/>
          <a:ext cx="10195560" cy="385572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34</xdr:row>
      <xdr:rowOff>174170</xdr:rowOff>
    </xdr:from>
    <xdr:to>
      <xdr:col>26</xdr:col>
      <xdr:colOff>439624</xdr:colOff>
      <xdr:row>64</xdr:row>
      <xdr:rowOff>97970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6433456"/>
          <a:ext cx="12337710" cy="514894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24</xdr:col>
      <xdr:colOff>1348740</xdr:colOff>
      <xdr:row>127</xdr:row>
      <xdr:rowOff>30480</xdr:rowOff>
    </xdr:to>
    <xdr:pic>
      <xdr:nvPicPr>
        <xdr:cNvPr id="40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8836640"/>
          <a:ext cx="10195560" cy="3886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4"/>
  <sheetViews>
    <sheetView topLeftCell="A13" workbookViewId="0">
      <selection activeCell="D24" sqref="D24"/>
    </sheetView>
  </sheetViews>
  <sheetFormatPr defaultRowHeight="13.8"/>
  <cols>
    <col min="1" max="1" width="37.09765625" bestFit="1" customWidth="1"/>
    <col min="2" max="2" width="15.59765625" style="1" bestFit="1" customWidth="1"/>
    <col min="3" max="3" width="12.19921875" customWidth="1"/>
    <col min="4" max="4" width="39.19921875" bestFit="1" customWidth="1"/>
    <col min="5" max="5" width="12.59765625" bestFit="1" customWidth="1"/>
    <col min="6" max="6" width="13.09765625" style="2" bestFit="1" customWidth="1"/>
    <col min="7" max="7" width="11.69921875" bestFit="1" customWidth="1"/>
  </cols>
  <sheetData>
    <row r="1" spans="1:7">
      <c r="A1" s="15" t="s">
        <v>27</v>
      </c>
      <c r="B1" s="14" t="s">
        <v>20</v>
      </c>
    </row>
    <row r="2" spans="1:7">
      <c r="A2" s="3" t="s">
        <v>12</v>
      </c>
      <c r="B2" s="4"/>
      <c r="D2" s="3" t="s">
        <v>13</v>
      </c>
      <c r="E2" s="3"/>
    </row>
    <row r="3" spans="1:7">
      <c r="A3" t="s">
        <v>0</v>
      </c>
      <c r="B3" s="9">
        <v>621760</v>
      </c>
      <c r="C3" s="1">
        <v>48955</v>
      </c>
    </row>
    <row r="4" spans="1:7">
      <c r="D4" t="s">
        <v>2</v>
      </c>
      <c r="E4" s="1">
        <f>G5+G4</f>
        <v>151433.4</v>
      </c>
      <c r="G4">
        <v>300</v>
      </c>
    </row>
    <row r="5" spans="1:7">
      <c r="D5" t="s">
        <v>3</v>
      </c>
      <c r="E5" s="1">
        <f>B3+E4</f>
        <v>773193.4</v>
      </c>
      <c r="G5" s="1">
        <v>151133.4</v>
      </c>
    </row>
    <row r="6" spans="1:7">
      <c r="A6" s="7" t="s">
        <v>1</v>
      </c>
      <c r="B6" s="6"/>
      <c r="C6" s="5"/>
      <c r="D6" s="5"/>
      <c r="E6" s="3"/>
      <c r="G6" s="1"/>
    </row>
    <row r="7" spans="1:7">
      <c r="A7" t="s">
        <v>5</v>
      </c>
      <c r="B7" s="1">
        <v>2435.1999999999998</v>
      </c>
      <c r="D7" t="s">
        <v>5</v>
      </c>
      <c r="E7" s="1">
        <v>2435.1999999999998</v>
      </c>
    </row>
    <row r="8" spans="1:7">
      <c r="A8" t="s">
        <v>21</v>
      </c>
      <c r="B8" s="1">
        <v>60000</v>
      </c>
      <c r="D8" t="s">
        <v>21</v>
      </c>
      <c r="E8" s="1">
        <v>60000</v>
      </c>
    </row>
    <row r="9" spans="1:7">
      <c r="A9" t="s">
        <v>4</v>
      </c>
      <c r="B9" s="8">
        <v>30000</v>
      </c>
      <c r="D9" t="s">
        <v>4</v>
      </c>
      <c r="E9" s="8">
        <v>30000</v>
      </c>
    </row>
    <row r="10" spans="1:7">
      <c r="A10" t="s">
        <v>22</v>
      </c>
      <c r="B10" s="8">
        <v>30000</v>
      </c>
      <c r="D10" t="s">
        <v>22</v>
      </c>
      <c r="E10" s="8">
        <v>30000</v>
      </c>
    </row>
    <row r="11" spans="1:7">
      <c r="A11" t="s">
        <v>23</v>
      </c>
      <c r="B11" s="1">
        <v>30000</v>
      </c>
      <c r="D11" t="s">
        <v>23</v>
      </c>
      <c r="E11" s="1">
        <v>30000</v>
      </c>
    </row>
    <row r="12" spans="1:7">
      <c r="A12" t="s">
        <v>24</v>
      </c>
      <c r="B12" s="1">
        <v>4000</v>
      </c>
      <c r="D12" t="s">
        <v>24</v>
      </c>
      <c r="E12" s="1">
        <v>4000</v>
      </c>
    </row>
    <row r="13" spans="1:7">
      <c r="A13" t="s">
        <v>25</v>
      </c>
      <c r="B13" s="1">
        <v>30000</v>
      </c>
      <c r="D13" t="s">
        <v>25</v>
      </c>
      <c r="E13" s="1">
        <v>30000</v>
      </c>
    </row>
    <row r="14" spans="1:7">
      <c r="A14" t="s">
        <v>26</v>
      </c>
      <c r="B14" s="8">
        <v>30000</v>
      </c>
      <c r="D14" t="s">
        <v>26</v>
      </c>
      <c r="E14" s="8">
        <v>30000</v>
      </c>
    </row>
    <row r="15" spans="1:7">
      <c r="A15" t="s">
        <v>5</v>
      </c>
      <c r="B15" s="8">
        <v>10000</v>
      </c>
      <c r="D15" t="s">
        <v>5</v>
      </c>
      <c r="E15" s="8">
        <v>10000</v>
      </c>
    </row>
    <row r="16" spans="1:7">
      <c r="B16" s="9">
        <f>SUM(B7:B15)</f>
        <v>226435.20000000001</v>
      </c>
      <c r="E16" s="9">
        <f>SUM(E7:E15)</f>
        <v>226435.20000000001</v>
      </c>
    </row>
    <row r="18" spans="1:7">
      <c r="A18" t="s">
        <v>6</v>
      </c>
      <c r="B18" s="1">
        <f>B3-B16</f>
        <v>395324.8</v>
      </c>
      <c r="D18" t="s">
        <v>6</v>
      </c>
      <c r="E18" s="1">
        <f>E5-E16</f>
        <v>546758.19999999995</v>
      </c>
    </row>
    <row r="19" spans="1:7">
      <c r="A19" t="s">
        <v>7</v>
      </c>
      <c r="B19" s="1">
        <v>0</v>
      </c>
      <c r="D19" t="s">
        <v>7</v>
      </c>
      <c r="E19" s="1">
        <v>0</v>
      </c>
    </row>
    <row r="20" spans="1:7">
      <c r="A20" t="s">
        <v>8</v>
      </c>
      <c r="B20" s="1">
        <f>(B18-150000)*10%</f>
        <v>24532.48</v>
      </c>
      <c r="D20" t="s">
        <v>8</v>
      </c>
      <c r="E20" s="1">
        <f>35000</f>
        <v>35000</v>
      </c>
    </row>
    <row r="21" spans="1:7">
      <c r="A21" t="s">
        <v>9</v>
      </c>
      <c r="D21" t="s">
        <v>9</v>
      </c>
      <c r="E21" s="1">
        <f>(E18-500000)*20%</f>
        <v>9351.6399999999903</v>
      </c>
    </row>
    <row r="23" spans="1:7">
      <c r="A23" t="s">
        <v>10</v>
      </c>
      <c r="B23" s="1">
        <f>SUM(B19:B21)</f>
        <v>24532.48</v>
      </c>
      <c r="D23" t="s">
        <v>11</v>
      </c>
      <c r="E23" s="1">
        <f>SUM(E19:E21)</f>
        <v>44351.639999999992</v>
      </c>
    </row>
    <row r="24" spans="1:7">
      <c r="A24" t="s">
        <v>17</v>
      </c>
      <c r="B24" s="11">
        <v>3528.52</v>
      </c>
    </row>
    <row r="25" spans="1:7">
      <c r="A25" t="s">
        <v>15</v>
      </c>
      <c r="B25" s="1">
        <f>B23-B24</f>
        <v>21003.96</v>
      </c>
    </row>
    <row r="27" spans="1:7" ht="14.4" thickBot="1">
      <c r="A27" t="s">
        <v>18</v>
      </c>
      <c r="B27" s="10">
        <f>B25/10</f>
        <v>2100.3959999999997</v>
      </c>
    </row>
    <row r="28" spans="1:7" ht="14.4" thickTop="1">
      <c r="D28" t="s">
        <v>10</v>
      </c>
      <c r="E28" s="1">
        <f>B23</f>
        <v>24532.48</v>
      </c>
    </row>
    <row r="29" spans="1:7">
      <c r="D29" t="s">
        <v>19</v>
      </c>
      <c r="E29" s="13">
        <v>16397.759999999998</v>
      </c>
      <c r="G29" s="13"/>
    </row>
    <row r="30" spans="1:7">
      <c r="E30" s="13">
        <f>E28+E29</f>
        <v>40930.239999999998</v>
      </c>
      <c r="G30" s="13"/>
    </row>
    <row r="31" spans="1:7">
      <c r="D31" t="s">
        <v>14</v>
      </c>
      <c r="E31" s="1">
        <f>E23-E30</f>
        <v>3421.3999999999942</v>
      </c>
      <c r="G31" s="2"/>
    </row>
    <row r="33" spans="4:5" ht="14.4" thickBot="1">
      <c r="E33" s="1"/>
    </row>
    <row r="34" spans="4:5" ht="14.4" thickBot="1">
      <c r="D34" t="s">
        <v>16</v>
      </c>
      <c r="E34" s="12">
        <f>E31+B27</f>
        <v>5521.7959999999939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113"/>
  <sheetViews>
    <sheetView tabSelected="1" topLeftCell="S76" zoomScale="70" zoomScaleNormal="70" workbookViewId="0">
      <selection activeCell="W85" sqref="W85"/>
    </sheetView>
  </sheetViews>
  <sheetFormatPr defaultRowHeight="13.8"/>
  <cols>
    <col min="1" max="1" width="15.3984375" hidden="1" customWidth="1"/>
    <col min="2" max="2" width="14.19921875" hidden="1" customWidth="1"/>
    <col min="3" max="3" width="8.796875" hidden="1" customWidth="1"/>
    <col min="4" max="4" width="13.8984375" hidden="1" customWidth="1"/>
    <col min="5" max="5" width="22.69921875" hidden="1" customWidth="1"/>
    <col min="6" max="6" width="15.59765625" style="1" hidden="1" customWidth="1"/>
    <col min="7" max="7" width="5.8984375" style="34" hidden="1" customWidth="1"/>
    <col min="8" max="8" width="15.3984375" hidden="1" customWidth="1"/>
    <col min="9" max="9" width="14.19921875" hidden="1" customWidth="1"/>
    <col min="10" max="10" width="8.796875" hidden="1" customWidth="1"/>
    <col min="11" max="11" width="13.8984375" hidden="1" customWidth="1"/>
    <col min="12" max="12" width="22.69921875" hidden="1" customWidth="1"/>
    <col min="13" max="13" width="15.59765625" style="1" hidden="1" customWidth="1"/>
    <col min="14" max="14" width="12.19921875" hidden="1" customWidth="1"/>
    <col min="15" max="15" width="39.19921875" hidden="1" customWidth="1"/>
    <col min="16" max="16" width="12.59765625" hidden="1" customWidth="1"/>
    <col min="17" max="18" width="8.796875" hidden="1" customWidth="1"/>
    <col min="19" max="19" width="16.796875" customWidth="1"/>
    <col min="20" max="20" width="13.19921875" customWidth="1"/>
    <col min="21" max="21" width="22.796875" customWidth="1"/>
    <col min="22" max="22" width="15.69921875" customWidth="1"/>
    <col min="23" max="23" width="16.8984375" customWidth="1"/>
    <col min="24" max="24" width="10.59765625" customWidth="1"/>
    <col min="25" max="25" width="13.09765625" customWidth="1"/>
    <col min="26" max="26" width="22.59765625" customWidth="1"/>
    <col min="27" max="27" width="18" bestFit="1" customWidth="1"/>
    <col min="28" max="28" width="11.69921875" customWidth="1"/>
  </cols>
  <sheetData>
    <row r="1" spans="1:28" s="39" customFormat="1" ht="17.399999999999999">
      <c r="C1" s="39" t="s">
        <v>47</v>
      </c>
      <c r="E1" s="40"/>
      <c r="F1" s="41"/>
      <c r="G1" s="42"/>
      <c r="K1" s="39" t="s">
        <v>48</v>
      </c>
      <c r="L1" s="40"/>
      <c r="M1" s="41"/>
      <c r="S1" s="44" t="s">
        <v>70</v>
      </c>
      <c r="T1" s="39" t="s">
        <v>71</v>
      </c>
      <c r="X1" s="49"/>
      <c r="Y1" s="1"/>
      <c r="Z1"/>
    </row>
    <row r="2" spans="1:28" ht="17.399999999999999">
      <c r="A2" s="55" t="s">
        <v>12</v>
      </c>
      <c r="B2" s="55"/>
      <c r="C2" s="55"/>
      <c r="D2" s="55"/>
      <c r="E2" s="55"/>
      <c r="F2" s="4"/>
      <c r="H2" s="55" t="s">
        <v>12</v>
      </c>
      <c r="I2" s="55"/>
      <c r="J2" s="55"/>
      <c r="K2" s="55"/>
      <c r="L2" s="55"/>
      <c r="M2" s="4"/>
      <c r="O2" s="3" t="s">
        <v>13</v>
      </c>
      <c r="P2" s="3"/>
      <c r="S2" s="59" t="s">
        <v>57</v>
      </c>
      <c r="X2" s="47"/>
      <c r="Y2" s="1"/>
      <c r="AA2" s="1"/>
    </row>
    <row r="3" spans="1:28" ht="23.4" customHeight="1">
      <c r="A3" s="29" t="s">
        <v>46</v>
      </c>
      <c r="B3" s="29"/>
      <c r="C3" s="29"/>
      <c r="D3" s="29"/>
      <c r="E3" s="43">
        <v>2400000</v>
      </c>
      <c r="H3" s="29" t="s">
        <v>46</v>
      </c>
      <c r="I3" s="29"/>
      <c r="J3" s="29"/>
      <c r="K3" s="29"/>
      <c r="L3" s="33">
        <f>E3</f>
        <v>2400000</v>
      </c>
      <c r="N3" s="1"/>
      <c r="O3" t="s">
        <v>2</v>
      </c>
      <c r="P3" s="9">
        <v>10000</v>
      </c>
      <c r="S3" s="29" t="s">
        <v>64</v>
      </c>
      <c r="T3" s="29"/>
      <c r="U3" s="29"/>
      <c r="V3" s="29"/>
      <c r="W3" s="57">
        <v>2239770</v>
      </c>
      <c r="X3" s="47"/>
      <c r="Y3" s="1"/>
    </row>
    <row r="4" spans="1:28">
      <c r="A4" t="s">
        <v>50</v>
      </c>
      <c r="W4" s="1"/>
      <c r="X4" s="47"/>
      <c r="Y4" s="1"/>
    </row>
    <row r="5" spans="1:28">
      <c r="A5" s="55" t="s">
        <v>1</v>
      </c>
      <c r="B5" s="55"/>
      <c r="C5" s="55"/>
      <c r="D5" s="55"/>
      <c r="E5" s="55"/>
      <c r="F5" s="6"/>
      <c r="G5" s="35"/>
      <c r="H5" s="55" t="s">
        <v>1</v>
      </c>
      <c r="I5" s="55"/>
      <c r="J5" s="55"/>
      <c r="K5" s="55"/>
      <c r="L5" s="55"/>
      <c r="M5" s="6"/>
      <c r="N5" s="46"/>
      <c r="O5" s="46"/>
      <c r="P5" s="3"/>
      <c r="S5" s="55" t="s">
        <v>1</v>
      </c>
      <c r="T5" s="55"/>
      <c r="U5" s="55"/>
      <c r="V5" s="55"/>
      <c r="W5" s="55"/>
      <c r="X5" s="1"/>
      <c r="Y5" s="1"/>
    </row>
    <row r="6" spans="1:28" ht="21.6" customHeight="1">
      <c r="A6" s="29" t="s">
        <v>33</v>
      </c>
      <c r="B6" s="29"/>
      <c r="C6" s="29"/>
      <c r="D6" s="29"/>
      <c r="E6" s="31">
        <f>E3*F6</f>
        <v>120000</v>
      </c>
      <c r="F6" s="32">
        <v>0.05</v>
      </c>
      <c r="G6" s="36"/>
      <c r="H6" s="29" t="s">
        <v>33</v>
      </c>
      <c r="I6" s="29"/>
      <c r="J6" s="29"/>
      <c r="K6" s="29"/>
      <c r="L6" s="31">
        <f>L3*M6</f>
        <v>120000</v>
      </c>
      <c r="M6" s="32">
        <f>F6</f>
        <v>0.05</v>
      </c>
      <c r="N6" s="17"/>
      <c r="O6" t="s">
        <v>33</v>
      </c>
      <c r="P6" s="8"/>
      <c r="S6" s="29" t="s">
        <v>51</v>
      </c>
      <c r="T6" s="29"/>
      <c r="U6" s="48" t="s">
        <v>53</v>
      </c>
      <c r="V6" s="29"/>
      <c r="W6" s="30">
        <f>7000*X6</f>
        <v>196000</v>
      </c>
      <c r="X6" s="32">
        <v>28</v>
      </c>
      <c r="Z6" s="1" t="s">
        <v>2</v>
      </c>
      <c r="AB6" t="s">
        <v>54</v>
      </c>
    </row>
    <row r="7" spans="1:28">
      <c r="A7" s="29" t="s">
        <v>29</v>
      </c>
      <c r="B7" s="29"/>
      <c r="C7" s="29"/>
      <c r="D7" s="29"/>
      <c r="E7" s="30">
        <f>IF((E3*40%)&gt;60000,60000,E3*40%)</f>
        <v>60000</v>
      </c>
      <c r="H7" s="29" t="s">
        <v>29</v>
      </c>
      <c r="I7" s="29"/>
      <c r="J7" s="29"/>
      <c r="K7" s="29"/>
      <c r="L7" s="30">
        <f>IF((L3*50%)&gt;100000,100000,L3*50%)</f>
        <v>100000</v>
      </c>
      <c r="N7" s="17"/>
      <c r="O7" t="s">
        <v>29</v>
      </c>
      <c r="P7" s="16">
        <v>100000</v>
      </c>
      <c r="S7" s="29" t="s">
        <v>52</v>
      </c>
      <c r="T7" s="29"/>
      <c r="U7" s="29"/>
      <c r="V7" s="29"/>
      <c r="W7" s="30">
        <f>(Z15-W6)*50%</f>
        <v>947226</v>
      </c>
      <c r="X7" s="1"/>
      <c r="Z7" s="1">
        <v>2239770</v>
      </c>
      <c r="AB7" s="1">
        <v>34690.800000000003</v>
      </c>
    </row>
    <row r="8" spans="1:28">
      <c r="A8" s="29" t="s">
        <v>28</v>
      </c>
      <c r="B8" s="29"/>
      <c r="C8" s="29"/>
      <c r="D8" s="29"/>
      <c r="E8" s="30">
        <v>30000</v>
      </c>
      <c r="H8" s="29" t="s">
        <v>28</v>
      </c>
      <c r="I8" s="29"/>
      <c r="J8" s="29"/>
      <c r="K8" s="29"/>
      <c r="L8" s="30">
        <v>60000</v>
      </c>
      <c r="N8" s="17"/>
      <c r="O8" t="s">
        <v>28</v>
      </c>
      <c r="P8" s="16">
        <v>60000</v>
      </c>
      <c r="S8" s="29"/>
      <c r="T8" s="29"/>
      <c r="U8" s="29"/>
      <c r="V8" s="29"/>
      <c r="W8" s="30"/>
      <c r="X8" s="1"/>
      <c r="Z8" s="1">
        <f>AB7+AB8</f>
        <v>146636</v>
      </c>
      <c r="AB8" s="1">
        <v>111945.2</v>
      </c>
    </row>
    <row r="9" spans="1:28" ht="14.4" thickBot="1">
      <c r="A9" s="29" t="s">
        <v>30</v>
      </c>
      <c r="B9" s="29"/>
      <c r="C9" s="29"/>
      <c r="D9" s="29"/>
      <c r="E9" s="29"/>
      <c r="F9" s="17"/>
      <c r="G9" s="37"/>
      <c r="H9" s="29" t="s">
        <v>30</v>
      </c>
      <c r="I9" s="29"/>
      <c r="J9" s="29"/>
      <c r="K9" s="29"/>
      <c r="L9" s="29"/>
      <c r="M9" s="17"/>
      <c r="N9" t="s">
        <v>30</v>
      </c>
      <c r="O9" s="16"/>
      <c r="S9" s="29"/>
      <c r="T9" s="29"/>
      <c r="U9" s="29"/>
      <c r="V9" s="29"/>
      <c r="W9" s="29"/>
      <c r="X9" s="1"/>
      <c r="Z9" s="20">
        <f>Z7+Z8</f>
        <v>2386406</v>
      </c>
      <c r="AB9" s="20">
        <f>SUM(AB7:AB8)</f>
        <v>146636</v>
      </c>
    </row>
    <row r="10" spans="1:28" ht="14.4" thickTop="1">
      <c r="A10" s="29" t="s">
        <v>31</v>
      </c>
      <c r="B10" s="29"/>
      <c r="C10" s="29"/>
      <c r="D10" s="29"/>
      <c r="E10" s="29"/>
      <c r="F10" s="17"/>
      <c r="G10" s="37"/>
      <c r="H10" s="29" t="s">
        <v>31</v>
      </c>
      <c r="I10" s="29"/>
      <c r="J10" s="29"/>
      <c r="K10" s="29"/>
      <c r="L10" s="29"/>
      <c r="M10" s="17"/>
      <c r="N10" t="s">
        <v>31</v>
      </c>
      <c r="O10" s="16"/>
      <c r="S10" s="29"/>
      <c r="T10" s="29"/>
      <c r="U10" s="29"/>
      <c r="V10" s="29"/>
      <c r="W10" s="29"/>
    </row>
    <row r="11" spans="1:28">
      <c r="A11" s="29" t="s">
        <v>32</v>
      </c>
      <c r="B11" s="29"/>
      <c r="C11" s="29"/>
      <c r="D11" s="29"/>
      <c r="E11" s="29"/>
      <c r="F11" s="17"/>
      <c r="G11" s="37"/>
      <c r="H11" s="29" t="s">
        <v>32</v>
      </c>
      <c r="I11" s="29"/>
      <c r="J11" s="29"/>
      <c r="K11" s="29"/>
      <c r="L11" s="29"/>
      <c r="M11" s="17"/>
      <c r="N11" t="s">
        <v>32</v>
      </c>
      <c r="O11" s="16"/>
      <c r="S11" s="29"/>
      <c r="T11" s="29"/>
      <c r="U11" s="29"/>
      <c r="V11" s="29"/>
      <c r="W11" s="29"/>
      <c r="Y11" s="1"/>
    </row>
    <row r="12" spans="1:28">
      <c r="A12" s="29" t="s">
        <v>34</v>
      </c>
      <c r="B12" s="29"/>
      <c r="C12" s="29"/>
      <c r="D12" s="29"/>
      <c r="E12" s="29"/>
      <c r="F12" s="17"/>
      <c r="G12" s="37"/>
      <c r="H12" s="29" t="s">
        <v>34</v>
      </c>
      <c r="I12" s="29"/>
      <c r="J12" s="29"/>
      <c r="K12" s="29"/>
      <c r="L12" s="29"/>
      <c r="M12" s="17"/>
      <c r="N12" t="s">
        <v>34</v>
      </c>
      <c r="O12" s="16"/>
      <c r="S12" s="29"/>
      <c r="T12" s="29"/>
      <c r="U12" s="29"/>
      <c r="V12" s="29"/>
      <c r="W12" s="29"/>
      <c r="Y12" s="1"/>
      <c r="Z12" t="s">
        <v>55</v>
      </c>
    </row>
    <row r="13" spans="1:28">
      <c r="A13" s="29" t="s">
        <v>35</v>
      </c>
      <c r="B13" s="29"/>
      <c r="C13" s="29"/>
      <c r="D13" s="29"/>
      <c r="E13" s="29"/>
      <c r="F13" s="17"/>
      <c r="G13" s="37"/>
      <c r="H13" s="29" t="s">
        <v>35</v>
      </c>
      <c r="I13" s="29"/>
      <c r="J13" s="29"/>
      <c r="K13" s="29"/>
      <c r="L13" s="29"/>
      <c r="M13" s="17"/>
      <c r="N13" t="s">
        <v>35</v>
      </c>
      <c r="O13" s="16"/>
      <c r="S13" s="29"/>
      <c r="T13" s="29"/>
      <c r="U13" s="29"/>
      <c r="V13" s="29"/>
      <c r="W13" s="29"/>
      <c r="Y13" s="1"/>
      <c r="Z13" s="1">
        <v>74659</v>
      </c>
    </row>
    <row r="14" spans="1:28" ht="14.4" thickBot="1">
      <c r="A14" s="54" t="s">
        <v>36</v>
      </c>
      <c r="B14" s="54"/>
      <c r="C14" s="54"/>
      <c r="D14" s="54"/>
      <c r="E14" s="22">
        <f>SUM(E6:E13)</f>
        <v>210000</v>
      </c>
      <c r="F14"/>
      <c r="G14" s="38"/>
      <c r="H14" s="54" t="s">
        <v>36</v>
      </c>
      <c r="I14" s="54"/>
      <c r="J14" s="54"/>
      <c r="K14" s="54"/>
      <c r="L14" s="22">
        <f>SUM(L6:L13)</f>
        <v>280000</v>
      </c>
      <c r="M14"/>
      <c r="N14" s="18" t="s">
        <v>36</v>
      </c>
      <c r="O14" s="22">
        <f>SUM(P6:P13)</f>
        <v>160000</v>
      </c>
      <c r="S14" s="54" t="s">
        <v>36</v>
      </c>
      <c r="T14" s="54"/>
      <c r="U14" s="54"/>
      <c r="V14" s="54"/>
      <c r="W14" s="22">
        <f>SUM(W6:W13)</f>
        <v>1143226</v>
      </c>
      <c r="Z14" s="1">
        <v>28</v>
      </c>
    </row>
    <row r="15" spans="1:28" ht="15" thickTop="1" thickBot="1">
      <c r="A15" s="47"/>
      <c r="B15" s="47"/>
      <c r="C15" s="47"/>
      <c r="D15" s="47"/>
      <c r="E15" s="1"/>
      <c r="F15"/>
      <c r="G15" s="38"/>
      <c r="H15" s="47"/>
      <c r="I15" s="47"/>
      <c r="J15" s="47"/>
      <c r="K15" s="47"/>
      <c r="L15" s="1"/>
      <c r="M15"/>
      <c r="S15" s="47"/>
      <c r="T15" s="47"/>
      <c r="U15" s="47"/>
      <c r="V15" s="47"/>
      <c r="W15" s="1"/>
      <c r="Z15" s="20">
        <f>Z13*Z14</f>
        <v>2090452</v>
      </c>
    </row>
    <row r="16" spans="1:28" ht="14.4" thickTop="1">
      <c r="A16" s="54" t="s">
        <v>45</v>
      </c>
      <c r="B16" s="54"/>
      <c r="C16" s="54"/>
      <c r="D16" s="54"/>
      <c r="E16" s="21">
        <f>E3-E14</f>
        <v>2190000</v>
      </c>
      <c r="F16"/>
      <c r="G16" s="38"/>
      <c r="H16" s="54" t="s">
        <v>45</v>
      </c>
      <c r="I16" s="54"/>
      <c r="J16" s="54"/>
      <c r="K16" s="54"/>
      <c r="L16" s="21">
        <f>L3-L14</f>
        <v>2120000</v>
      </c>
      <c r="M16"/>
      <c r="N16" t="s">
        <v>6</v>
      </c>
      <c r="O16" s="21" t="e">
        <f>#REF!-O14</f>
        <v>#REF!</v>
      </c>
      <c r="S16" s="54" t="s">
        <v>45</v>
      </c>
      <c r="T16" s="54"/>
      <c r="U16" s="54"/>
      <c r="V16" s="54"/>
      <c r="W16" s="21">
        <f>W3-W14</f>
        <v>1096544</v>
      </c>
    </row>
    <row r="17" spans="1:24">
      <c r="P17" s="1"/>
    </row>
    <row r="18" spans="1:24">
      <c r="A18" s="23" t="s">
        <v>44</v>
      </c>
      <c r="B18" s="23" t="s">
        <v>43</v>
      </c>
      <c r="C18" s="24" t="s">
        <v>42</v>
      </c>
      <c r="D18" s="23" t="s">
        <v>37</v>
      </c>
      <c r="E18" s="23" t="s">
        <v>41</v>
      </c>
      <c r="F18"/>
      <c r="G18" s="38"/>
      <c r="H18" s="23" t="s">
        <v>44</v>
      </c>
      <c r="I18" s="23" t="s">
        <v>43</v>
      </c>
      <c r="J18" s="24" t="s">
        <v>42</v>
      </c>
      <c r="K18" s="23" t="s">
        <v>37</v>
      </c>
      <c r="L18" s="23" t="s">
        <v>41</v>
      </c>
      <c r="M18"/>
      <c r="N18" t="s">
        <v>7</v>
      </c>
      <c r="O18" s="1">
        <v>0</v>
      </c>
      <c r="S18" s="23" t="s">
        <v>44</v>
      </c>
      <c r="T18" s="23" t="s">
        <v>43</v>
      </c>
      <c r="U18" s="24" t="s">
        <v>42</v>
      </c>
      <c r="V18" s="23" t="s">
        <v>37</v>
      </c>
      <c r="W18" s="23" t="s">
        <v>41</v>
      </c>
    </row>
    <row r="19" spans="1:24">
      <c r="A19" s="25">
        <v>0</v>
      </c>
      <c r="B19" s="26">
        <v>150000</v>
      </c>
      <c r="C19" s="19" t="s">
        <v>38</v>
      </c>
      <c r="D19" s="25">
        <f>IF((E16&gt;150000),150000,E16-B19)</f>
        <v>150000</v>
      </c>
      <c r="E19" s="25">
        <v>0</v>
      </c>
      <c r="F19"/>
      <c r="G19" s="38"/>
      <c r="H19" s="25">
        <v>0</v>
      </c>
      <c r="I19" s="26">
        <v>150000</v>
      </c>
      <c r="J19" s="19" t="s">
        <v>38</v>
      </c>
      <c r="K19" s="25">
        <f>IF((L16&gt;150000),150000,L16-I19)</f>
        <v>150000</v>
      </c>
      <c r="L19" s="25">
        <v>0</v>
      </c>
      <c r="M19"/>
      <c r="N19" t="s">
        <v>8</v>
      </c>
      <c r="O19" s="1">
        <f>35000</f>
        <v>35000</v>
      </c>
      <c r="S19" s="25">
        <v>0</v>
      </c>
      <c r="T19" s="26">
        <v>150000</v>
      </c>
      <c r="U19" s="27">
        <v>0.05</v>
      </c>
      <c r="V19" s="25">
        <f>IF((W16&gt;150000),150000,W16-T19)</f>
        <v>150000</v>
      </c>
      <c r="W19" s="25">
        <f t="shared" ref="W19:W25" si="0">IF((V19&lt;0),0,V19*U19)</f>
        <v>7500</v>
      </c>
    </row>
    <row r="20" spans="1:24">
      <c r="A20" s="25">
        <v>150001</v>
      </c>
      <c r="B20" s="26">
        <v>300000</v>
      </c>
      <c r="C20" s="27">
        <v>0.05</v>
      </c>
      <c r="D20" s="25">
        <f>IF((E16&gt;300000),150000,E16-B19)</f>
        <v>150000</v>
      </c>
      <c r="E20" s="25">
        <f t="shared" ref="E20:E25" si="1">IF((D20&lt;0),0,D20*C20)</f>
        <v>7500</v>
      </c>
      <c r="F20"/>
      <c r="G20" s="38"/>
      <c r="H20" s="25">
        <v>150001</v>
      </c>
      <c r="I20" s="26">
        <v>300000</v>
      </c>
      <c r="J20" s="27">
        <v>0.05</v>
      </c>
      <c r="K20" s="25">
        <f>IF((L16&gt;300000),150000,L16-I19)</f>
        <v>150000</v>
      </c>
      <c r="L20" s="25">
        <f t="shared" ref="L20:L25" si="2">IF((K20&lt;0),0,K20*J20)</f>
        <v>7500</v>
      </c>
      <c r="M20"/>
      <c r="N20" t="s">
        <v>9</v>
      </c>
      <c r="O20" s="1" t="e">
        <f>(O16-500000)*20%</f>
        <v>#REF!</v>
      </c>
      <c r="S20" s="25">
        <v>150001</v>
      </c>
      <c r="T20" s="26">
        <v>300000</v>
      </c>
      <c r="U20" s="27">
        <v>0.05</v>
      </c>
      <c r="V20" s="25">
        <f>IF((W16&gt;300000),150000,W16-T20)</f>
        <v>150000</v>
      </c>
      <c r="W20" s="25">
        <f t="shared" si="0"/>
        <v>7500</v>
      </c>
    </row>
    <row r="21" spans="1:24">
      <c r="A21" s="25">
        <v>300001</v>
      </c>
      <c r="B21" s="26">
        <v>500000</v>
      </c>
      <c r="C21" s="27">
        <v>0.1</v>
      </c>
      <c r="D21" s="25">
        <f>IF((E16&gt;500000),200000,E16-B20)</f>
        <v>200000</v>
      </c>
      <c r="E21" s="25">
        <f t="shared" si="1"/>
        <v>20000</v>
      </c>
      <c r="F21"/>
      <c r="G21" s="38"/>
      <c r="H21" s="25">
        <v>300001</v>
      </c>
      <c r="I21" s="26">
        <v>500000</v>
      </c>
      <c r="J21" s="27">
        <v>0.1</v>
      </c>
      <c r="K21" s="25">
        <f>IF((L16&gt;500000),200000,L16-I20)</f>
        <v>200000</v>
      </c>
      <c r="L21" s="25">
        <f t="shared" si="2"/>
        <v>20000</v>
      </c>
      <c r="M21"/>
      <c r="S21" s="25">
        <v>300001</v>
      </c>
      <c r="T21" s="26">
        <v>500000</v>
      </c>
      <c r="U21" s="27">
        <v>0.1</v>
      </c>
      <c r="V21" s="25">
        <f>IF((W16&gt;500000),200000,W16-T20)</f>
        <v>200000</v>
      </c>
      <c r="W21" s="25">
        <f t="shared" si="0"/>
        <v>20000</v>
      </c>
    </row>
    <row r="22" spans="1:24">
      <c r="A22" s="25">
        <v>500001</v>
      </c>
      <c r="B22" s="26">
        <v>750000</v>
      </c>
      <c r="C22" s="27">
        <v>0.15000000000000002</v>
      </c>
      <c r="D22" s="25">
        <f>IF((E16&gt;750000),250000,E16-B21)</f>
        <v>250000</v>
      </c>
      <c r="E22" s="25">
        <f t="shared" si="1"/>
        <v>37500.000000000007</v>
      </c>
      <c r="F22"/>
      <c r="G22" s="38"/>
      <c r="H22" s="25">
        <v>500001</v>
      </c>
      <c r="I22" s="26">
        <v>750000</v>
      </c>
      <c r="J22" s="27">
        <v>0.15000000000000002</v>
      </c>
      <c r="K22" s="25">
        <f>IF((L16&gt;750000),250000,L16-I21)</f>
        <v>250000</v>
      </c>
      <c r="L22" s="25">
        <f t="shared" si="2"/>
        <v>37500.000000000007</v>
      </c>
      <c r="M22"/>
      <c r="N22" t="s">
        <v>11</v>
      </c>
      <c r="O22" s="1" t="e">
        <f>SUM(O18:O20)</f>
        <v>#REF!</v>
      </c>
      <c r="S22" s="25">
        <v>500001</v>
      </c>
      <c r="T22" s="26">
        <v>750000</v>
      </c>
      <c r="U22" s="27">
        <v>0.15000000000000002</v>
      </c>
      <c r="V22" s="25">
        <f>IF((W16&gt;750000),250000,W16-T21)</f>
        <v>250000</v>
      </c>
      <c r="W22" s="25">
        <f t="shared" si="0"/>
        <v>37500.000000000007</v>
      </c>
    </row>
    <row r="23" spans="1:24">
      <c r="A23" s="25">
        <v>750001</v>
      </c>
      <c r="B23" s="26">
        <v>1000000</v>
      </c>
      <c r="C23" s="27">
        <v>0.2</v>
      </c>
      <c r="D23" s="25">
        <f>IF((E16&gt;1000000),250000,E16-B22)</f>
        <v>250000</v>
      </c>
      <c r="E23" s="25">
        <f t="shared" si="1"/>
        <v>50000</v>
      </c>
      <c r="F23"/>
      <c r="G23" s="38"/>
      <c r="H23" s="25">
        <v>750001</v>
      </c>
      <c r="I23" s="26">
        <v>1000000</v>
      </c>
      <c r="J23" s="27">
        <v>0.2</v>
      </c>
      <c r="K23" s="25">
        <f>IF((L16&gt;1000000),250000,L16-I22)</f>
        <v>250000</v>
      </c>
      <c r="L23" s="25">
        <f t="shared" si="2"/>
        <v>50000</v>
      </c>
      <c r="M23"/>
      <c r="S23" s="25">
        <v>750001</v>
      </c>
      <c r="T23" s="26">
        <v>1000000</v>
      </c>
      <c r="U23" s="27">
        <v>0.2</v>
      </c>
      <c r="V23" s="25">
        <f>IF((W16&gt;1000000),250000,W16-T22)</f>
        <v>250000</v>
      </c>
      <c r="W23" s="25">
        <f t="shared" si="0"/>
        <v>50000</v>
      </c>
    </row>
    <row r="24" spans="1:24">
      <c r="A24" s="25">
        <v>1000001</v>
      </c>
      <c r="B24" s="26">
        <v>2000000</v>
      </c>
      <c r="C24" s="27">
        <v>0.25</v>
      </c>
      <c r="D24" s="25">
        <f>IF((E16&gt;2000000),1000000,E16-B23)</f>
        <v>1000000</v>
      </c>
      <c r="E24" s="25">
        <f t="shared" si="1"/>
        <v>250000</v>
      </c>
      <c r="F24"/>
      <c r="G24" s="38"/>
      <c r="H24" s="25">
        <v>1000001</v>
      </c>
      <c r="I24" s="26">
        <v>2000000</v>
      </c>
      <c r="J24" s="27">
        <v>0.25</v>
      </c>
      <c r="K24" s="25">
        <f>IF((L16&gt;2000000),1000000,L16-I23)</f>
        <v>1000000</v>
      </c>
      <c r="L24" s="25">
        <f t="shared" si="2"/>
        <v>250000</v>
      </c>
      <c r="M24"/>
      <c r="S24" s="25">
        <v>1000001</v>
      </c>
      <c r="T24" s="26">
        <v>2000000</v>
      </c>
      <c r="U24" s="27">
        <v>0.25</v>
      </c>
      <c r="V24" s="25">
        <f>IF((W16&gt;2000000),1000000,W16-T23)</f>
        <v>96544</v>
      </c>
      <c r="W24" s="25">
        <f t="shared" si="0"/>
        <v>24136</v>
      </c>
    </row>
    <row r="25" spans="1:24">
      <c r="A25" s="25">
        <v>2000001</v>
      </c>
      <c r="B25" s="26">
        <v>4000000</v>
      </c>
      <c r="C25" s="27">
        <v>0.3</v>
      </c>
      <c r="D25" s="25">
        <f>IF((E16&gt;4000000),2000000,E16-B24)</f>
        <v>190000</v>
      </c>
      <c r="E25" s="25">
        <f t="shared" si="1"/>
        <v>57000</v>
      </c>
      <c r="F25"/>
      <c r="G25" s="38"/>
      <c r="H25" s="25">
        <v>2000001</v>
      </c>
      <c r="I25" s="26">
        <v>4000000</v>
      </c>
      <c r="J25" s="27">
        <v>0.3</v>
      </c>
      <c r="K25" s="25">
        <f>IF((L16&gt;4000000),2000000,L16-I24)</f>
        <v>120000</v>
      </c>
      <c r="L25" s="25">
        <f t="shared" si="2"/>
        <v>36000</v>
      </c>
      <c r="M25"/>
      <c r="S25" s="25">
        <v>2000001</v>
      </c>
      <c r="T25" s="26">
        <v>4000000</v>
      </c>
      <c r="U25" s="27">
        <v>0.3</v>
      </c>
      <c r="V25" s="25">
        <f>IF((W16&gt;5000000),3000000,W16-T24)</f>
        <v>-903456</v>
      </c>
      <c r="W25" s="25">
        <f t="shared" si="0"/>
        <v>0</v>
      </c>
    </row>
    <row r="26" spans="1:24">
      <c r="A26" s="25">
        <v>4000001</v>
      </c>
      <c r="B26" s="26"/>
      <c r="C26" s="27">
        <v>0.35</v>
      </c>
      <c r="D26" s="25" t="b">
        <f>IF((E16&gt;4000000),E16-B25)</f>
        <v>0</v>
      </c>
      <c r="E26" s="25">
        <f>D26*C26</f>
        <v>0</v>
      </c>
      <c r="F26"/>
      <c r="G26" s="38"/>
      <c r="H26" s="25">
        <v>4000001</v>
      </c>
      <c r="I26" s="26"/>
      <c r="J26" s="27">
        <v>0.35</v>
      </c>
      <c r="K26" s="25" t="b">
        <f>IF((L16&gt;4000000),L16-I25)</f>
        <v>0</v>
      </c>
      <c r="L26" s="25">
        <f>K26*J26</f>
        <v>0</v>
      </c>
      <c r="M26"/>
      <c r="S26" s="25">
        <v>5000001</v>
      </c>
      <c r="T26" s="26"/>
      <c r="U26" s="27">
        <v>0.35</v>
      </c>
      <c r="V26" s="25" t="b">
        <f>IF((W16&gt;5000000),W16-T25)</f>
        <v>0</v>
      </c>
      <c r="W26" s="25">
        <f>V26*U26</f>
        <v>0</v>
      </c>
    </row>
    <row r="27" spans="1:24">
      <c r="A27" s="52" t="s">
        <v>39</v>
      </c>
      <c r="B27" s="52"/>
      <c r="C27" s="52"/>
      <c r="D27" s="52"/>
      <c r="E27" s="21">
        <f>SUM(E19:E26)</f>
        <v>422000</v>
      </c>
      <c r="F27"/>
      <c r="G27" s="38"/>
      <c r="H27" s="52" t="s">
        <v>39</v>
      </c>
      <c r="I27" s="52"/>
      <c r="J27" s="52"/>
      <c r="K27" s="52"/>
      <c r="L27" s="21">
        <f>SUM(L19:L26)</f>
        <v>401000</v>
      </c>
      <c r="M27"/>
      <c r="N27" t="s">
        <v>10</v>
      </c>
      <c r="O27" s="1">
        <f>L22</f>
        <v>37500.000000000007</v>
      </c>
      <c r="S27" s="52" t="s">
        <v>39</v>
      </c>
      <c r="T27" s="52"/>
      <c r="U27" s="52"/>
      <c r="V27" s="52"/>
      <c r="W27" s="21">
        <f>SUM(W19:W26)</f>
        <v>146636</v>
      </c>
      <c r="X27" s="1"/>
    </row>
    <row r="28" spans="1:24" ht="14.4" thickBot="1">
      <c r="A28" s="53" t="s">
        <v>40</v>
      </c>
      <c r="B28" s="53"/>
      <c r="C28" s="53"/>
      <c r="D28" s="53"/>
      <c r="E28" s="28">
        <f>E27/12</f>
        <v>35166.666666666664</v>
      </c>
      <c r="F28"/>
      <c r="G28" s="38"/>
      <c r="H28" s="53" t="s">
        <v>40</v>
      </c>
      <c r="I28" s="53"/>
      <c r="J28" s="53"/>
      <c r="K28" s="53"/>
      <c r="L28" s="28">
        <f>L27/12</f>
        <v>33416.666666666664</v>
      </c>
      <c r="M28"/>
      <c r="N28" t="s">
        <v>19</v>
      </c>
      <c r="O28" s="13">
        <v>22489.01</v>
      </c>
      <c r="S28" s="53" t="s">
        <v>40</v>
      </c>
      <c r="T28" s="53"/>
      <c r="U28" s="53"/>
      <c r="V28" s="53"/>
      <c r="W28" s="28">
        <f>W27</f>
        <v>146636</v>
      </c>
    </row>
    <row r="29" spans="1:24" ht="14.4" thickTop="1">
      <c r="P29" s="13">
        <f>O27+O28</f>
        <v>59989.010000000009</v>
      </c>
    </row>
    <row r="30" spans="1:24">
      <c r="O30" t="s">
        <v>14</v>
      </c>
      <c r="P30" s="1" t="e">
        <f>O22-P29</f>
        <v>#REF!</v>
      </c>
    </row>
    <row r="31" spans="1:24" ht="14.4" thickBot="1">
      <c r="S31" s="56" t="s">
        <v>49</v>
      </c>
      <c r="T31" s="56"/>
      <c r="U31" s="56"/>
      <c r="V31" s="56"/>
      <c r="W31" s="45">
        <f>W28</f>
        <v>146636</v>
      </c>
    </row>
    <row r="32" spans="1:24" ht="15" thickTop="1" thickBot="1">
      <c r="P32" s="1"/>
    </row>
    <row r="33" spans="15:25" ht="14.4" thickBot="1">
      <c r="O33" t="s">
        <v>16</v>
      </c>
      <c r="P33" s="12" t="e">
        <f>P30+L26</f>
        <v>#REF!</v>
      </c>
    </row>
    <row r="34" spans="15:25" ht="17.399999999999999">
      <c r="U34" s="39" t="s">
        <v>66</v>
      </c>
      <c r="W34" s="25">
        <v>111945.2</v>
      </c>
      <c r="Y34" s="18" t="s">
        <v>65</v>
      </c>
    </row>
    <row r="35" spans="15:25" ht="18" thickBot="1">
      <c r="U35" s="64" t="s">
        <v>67</v>
      </c>
      <c r="W35" s="63">
        <f>W31-W34</f>
        <v>34690.800000000003</v>
      </c>
    </row>
    <row r="36" spans="15:25" ht="14.4" thickTop="1"/>
    <row r="80" spans="19:25" ht="17.399999999999999">
      <c r="S80" s="59" t="s">
        <v>62</v>
      </c>
      <c r="X80" s="51"/>
      <c r="Y80" s="1"/>
    </row>
    <row r="81" spans="19:27">
      <c r="S81" s="29" t="s">
        <v>63</v>
      </c>
      <c r="T81" s="29"/>
      <c r="U81" s="29"/>
      <c r="V81" s="29"/>
      <c r="W81" s="57">
        <f>AA88</f>
        <v>2386406</v>
      </c>
      <c r="X81" s="51"/>
      <c r="Y81" s="1"/>
    </row>
    <row r="82" spans="19:27">
      <c r="W82" s="1"/>
      <c r="X82" s="51"/>
      <c r="Y82" s="1"/>
    </row>
    <row r="83" spans="19:27">
      <c r="S83" s="55" t="s">
        <v>1</v>
      </c>
      <c r="T83" s="55"/>
      <c r="U83" s="55"/>
      <c r="V83" s="55"/>
      <c r="W83" s="55"/>
      <c r="X83" s="1"/>
      <c r="Y83" s="1"/>
      <c r="Z83" s="1"/>
    </row>
    <row r="84" spans="19:27" ht="27.6">
      <c r="S84" s="29" t="s">
        <v>51</v>
      </c>
      <c r="T84" s="29"/>
      <c r="U84" s="48" t="s">
        <v>53</v>
      </c>
      <c r="V84" s="29"/>
      <c r="W84" s="30">
        <f>7000*X84</f>
        <v>196000</v>
      </c>
      <c r="X84" s="32">
        <v>28</v>
      </c>
      <c r="AA84" s="1" t="s">
        <v>59</v>
      </c>
    </row>
    <row r="85" spans="19:27">
      <c r="S85" s="29" t="s">
        <v>52</v>
      </c>
      <c r="T85" s="29"/>
      <c r="U85" s="29"/>
      <c r="V85" s="29"/>
      <c r="W85" s="30">
        <f>(AA94-W84)*50%</f>
        <v>947226</v>
      </c>
      <c r="X85" s="1"/>
      <c r="Z85" s="58" t="s">
        <v>61</v>
      </c>
      <c r="AA85" s="1">
        <v>2239770</v>
      </c>
    </row>
    <row r="86" spans="19:27">
      <c r="S86" s="29"/>
      <c r="T86" s="29"/>
      <c r="U86" s="29"/>
      <c r="V86" s="29"/>
      <c r="W86" s="30"/>
      <c r="X86" s="1"/>
      <c r="Z86" s="58" t="s">
        <v>60</v>
      </c>
      <c r="AA86" s="1">
        <v>34690.800000000003</v>
      </c>
    </row>
    <row r="87" spans="19:27">
      <c r="S87" s="29"/>
      <c r="T87" s="29"/>
      <c r="U87" s="29"/>
      <c r="V87" s="29"/>
      <c r="W87" s="29"/>
      <c r="X87" s="1"/>
      <c r="Z87" s="58" t="s">
        <v>56</v>
      </c>
      <c r="AA87" s="1">
        <v>111945.2</v>
      </c>
    </row>
    <row r="88" spans="19:27" ht="14.4" thickBot="1">
      <c r="S88" s="29"/>
      <c r="T88" s="29"/>
      <c r="U88" s="29"/>
      <c r="V88" s="29"/>
      <c r="W88" s="29"/>
      <c r="AA88" s="20">
        <f>AA85+AA86+AA87</f>
        <v>2386406</v>
      </c>
    </row>
    <row r="89" spans="19:27" ht="14.4" thickTop="1">
      <c r="S89" s="29"/>
      <c r="T89" s="29"/>
      <c r="U89" s="29"/>
      <c r="V89" s="29"/>
      <c r="W89" s="29"/>
      <c r="Y89" s="1"/>
    </row>
    <row r="90" spans="19:27">
      <c r="S90" s="29"/>
      <c r="T90" s="29"/>
      <c r="U90" s="29"/>
      <c r="V90" s="29"/>
      <c r="W90" s="29"/>
      <c r="Y90" s="1"/>
      <c r="Z90" s="1"/>
    </row>
    <row r="91" spans="19:27">
      <c r="S91" s="29"/>
      <c r="T91" s="29"/>
      <c r="U91" s="29"/>
      <c r="V91" s="29"/>
      <c r="W91" s="29"/>
      <c r="Y91" s="1"/>
      <c r="Z91" s="1"/>
      <c r="AA91" t="s">
        <v>55</v>
      </c>
    </row>
    <row r="92" spans="19:27" ht="14.4" thickBot="1">
      <c r="S92" s="54" t="s">
        <v>36</v>
      </c>
      <c r="T92" s="54"/>
      <c r="U92" s="54"/>
      <c r="V92" s="54"/>
      <c r="W92" s="22">
        <f>SUM(W84:W91)</f>
        <v>1143226</v>
      </c>
      <c r="Z92" s="1"/>
      <c r="AA92" s="1">
        <v>74659</v>
      </c>
    </row>
    <row r="93" spans="19:27" ht="14.4" thickTop="1">
      <c r="S93" s="51"/>
      <c r="T93" s="51"/>
      <c r="U93" s="51"/>
      <c r="V93" s="51"/>
      <c r="W93" s="1"/>
      <c r="AA93" s="1">
        <v>28</v>
      </c>
    </row>
    <row r="94" spans="19:27" ht="14.4" thickBot="1">
      <c r="S94" s="54" t="s">
        <v>45</v>
      </c>
      <c r="T94" s="54"/>
      <c r="U94" s="54"/>
      <c r="V94" s="54"/>
      <c r="W94" s="21">
        <f>W81-W92</f>
        <v>1243180</v>
      </c>
      <c r="AA94" s="20">
        <f>AA92*AA93</f>
        <v>2090452</v>
      </c>
    </row>
    <row r="95" spans="19:27" ht="14.4" thickTop="1"/>
    <row r="96" spans="19:27">
      <c r="S96" s="23" t="s">
        <v>44</v>
      </c>
      <c r="T96" s="23" t="s">
        <v>43</v>
      </c>
      <c r="U96" s="24" t="s">
        <v>42</v>
      </c>
      <c r="V96" s="23" t="s">
        <v>37</v>
      </c>
      <c r="W96" s="23" t="s">
        <v>41</v>
      </c>
    </row>
    <row r="97" spans="19:27">
      <c r="S97" s="25">
        <v>0</v>
      </c>
      <c r="T97" s="26">
        <v>150000</v>
      </c>
      <c r="U97" s="27">
        <v>0.05</v>
      </c>
      <c r="V97" s="25">
        <f>IF((W94&gt;150000),150000,W94-T97)</f>
        <v>150000</v>
      </c>
      <c r="W97" s="25">
        <f t="shared" ref="W97:W103" si="3">IF((V97&lt;0),0,V97*U97)</f>
        <v>7500</v>
      </c>
    </row>
    <row r="98" spans="19:27">
      <c r="S98" s="25">
        <v>150001</v>
      </c>
      <c r="T98" s="26">
        <v>300000</v>
      </c>
      <c r="U98" s="27">
        <v>0.05</v>
      </c>
      <c r="V98" s="25">
        <f>IF((W94&gt;300000),150000,W94-T98)</f>
        <v>150000</v>
      </c>
      <c r="W98" s="25">
        <f t="shared" si="3"/>
        <v>7500</v>
      </c>
    </row>
    <row r="99" spans="19:27">
      <c r="S99" s="25">
        <v>300001</v>
      </c>
      <c r="T99" s="26">
        <v>500000</v>
      </c>
      <c r="U99" s="27">
        <v>0.1</v>
      </c>
      <c r="V99" s="25">
        <f>IF((W94&gt;500000),200000,W94-T98)</f>
        <v>200000</v>
      </c>
      <c r="W99" s="25">
        <f t="shared" si="3"/>
        <v>20000</v>
      </c>
      <c r="AA99" s="1">
        <v>2386406</v>
      </c>
    </row>
    <row r="100" spans="19:27">
      <c r="S100" s="25">
        <v>500001</v>
      </c>
      <c r="T100" s="26">
        <v>750000</v>
      </c>
      <c r="U100" s="27">
        <v>0.15000000000000002</v>
      </c>
      <c r="V100" s="25">
        <f>IF((W94&gt;750000),250000,W94-T99)</f>
        <v>250000</v>
      </c>
      <c r="W100" s="25">
        <f t="shared" si="3"/>
        <v>37500.000000000007</v>
      </c>
      <c r="AA100" s="1">
        <f>AA99-AA88</f>
        <v>0</v>
      </c>
    </row>
    <row r="101" spans="19:27">
      <c r="S101" s="25">
        <v>750001</v>
      </c>
      <c r="T101" s="26">
        <v>1000000</v>
      </c>
      <c r="U101" s="27">
        <v>0.2</v>
      </c>
      <c r="V101" s="25">
        <f>IF((W94&gt;1000000),250000,W94-T100)</f>
        <v>250000</v>
      </c>
      <c r="W101" s="25">
        <f t="shared" si="3"/>
        <v>50000</v>
      </c>
    </row>
    <row r="102" spans="19:27">
      <c r="S102" s="25">
        <v>1000001</v>
      </c>
      <c r="T102" s="26">
        <v>2000000</v>
      </c>
      <c r="U102" s="27">
        <v>0.25</v>
      </c>
      <c r="V102" s="25">
        <f>IF((W94&gt;2000000),1000000,W94-T101)</f>
        <v>243180</v>
      </c>
      <c r="W102" s="25">
        <f t="shared" si="3"/>
        <v>60795</v>
      </c>
    </row>
    <row r="103" spans="19:27">
      <c r="S103" s="25">
        <v>2000001</v>
      </c>
      <c r="T103" s="26">
        <v>4000000</v>
      </c>
      <c r="U103" s="27">
        <v>0.3</v>
      </c>
      <c r="V103" s="25">
        <f>IF((W94&gt;5000000),3000000,W94-T102)</f>
        <v>-756820</v>
      </c>
      <c r="W103" s="25">
        <f t="shared" si="3"/>
        <v>0</v>
      </c>
    </row>
    <row r="104" spans="19:27">
      <c r="S104" s="25">
        <v>5000001</v>
      </c>
      <c r="T104" s="26"/>
      <c r="U104" s="27">
        <v>0.35</v>
      </c>
      <c r="V104" s="25" t="b">
        <f>IF((W94&gt;5000000),W94-T103)</f>
        <v>0</v>
      </c>
      <c r="W104" s="25">
        <f>V104*U104</f>
        <v>0</v>
      </c>
    </row>
    <row r="105" spans="19:27">
      <c r="S105" s="52" t="s">
        <v>39</v>
      </c>
      <c r="T105" s="52"/>
      <c r="U105" s="52"/>
      <c r="V105" s="52"/>
      <c r="W105" s="21">
        <f>SUM(W97:W104)</f>
        <v>183295</v>
      </c>
      <c r="X105" s="1"/>
    </row>
    <row r="106" spans="19:27" ht="14.4" thickBot="1">
      <c r="S106" s="53" t="s">
        <v>40</v>
      </c>
      <c r="T106" s="53"/>
      <c r="U106" s="53"/>
      <c r="V106" s="53"/>
      <c r="W106" s="28">
        <f>W105</f>
        <v>183295</v>
      </c>
    </row>
    <row r="107" spans="19:27" ht="14.4" thickTop="1"/>
    <row r="109" spans="19:27" ht="14.4" thickBot="1">
      <c r="S109" s="56" t="s">
        <v>69</v>
      </c>
      <c r="T109" s="56"/>
      <c r="U109" s="56"/>
      <c r="V109" s="56"/>
      <c r="W109" s="45">
        <f>W106</f>
        <v>183295</v>
      </c>
    </row>
    <row r="110" spans="19:27" ht="14.4" thickTop="1"/>
    <row r="111" spans="19:27" ht="29.4" customHeight="1">
      <c r="T111" s="39" t="s">
        <v>75</v>
      </c>
      <c r="W111" s="1">
        <v>137292.79999999999</v>
      </c>
      <c r="Y111" s="18" t="s">
        <v>74</v>
      </c>
    </row>
    <row r="112" spans="19:27" ht="14.4" thickBot="1">
      <c r="U112" s="18" t="s">
        <v>76</v>
      </c>
      <c r="W112" s="63">
        <f>W109-W111</f>
        <v>46002.200000000012</v>
      </c>
    </row>
    <row r="113" ht="14.4" thickTop="1"/>
  </sheetData>
  <mergeCells count="24">
    <mergeCell ref="S109:V109"/>
    <mergeCell ref="S83:W83"/>
    <mergeCell ref="S92:V92"/>
    <mergeCell ref="S94:V94"/>
    <mergeCell ref="S105:V105"/>
    <mergeCell ref="S106:V106"/>
    <mergeCell ref="S28:V28"/>
    <mergeCell ref="S31:V31"/>
    <mergeCell ref="A27:D27"/>
    <mergeCell ref="H27:K27"/>
    <mergeCell ref="A28:D28"/>
    <mergeCell ref="H28:K28"/>
    <mergeCell ref="S14:V14"/>
    <mergeCell ref="S16:V16"/>
    <mergeCell ref="S27:V27"/>
    <mergeCell ref="A14:D14"/>
    <mergeCell ref="H14:K14"/>
    <mergeCell ref="A16:D16"/>
    <mergeCell ref="H16:K16"/>
    <mergeCell ref="A2:E2"/>
    <mergeCell ref="H2:L2"/>
    <mergeCell ref="A5:E5"/>
    <mergeCell ref="H5:L5"/>
    <mergeCell ref="S5:W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B103"/>
  <sheetViews>
    <sheetView topLeftCell="S1" zoomScale="70" zoomScaleNormal="70" workbookViewId="0">
      <selection activeCell="X101" sqref="X101"/>
    </sheetView>
  </sheetViews>
  <sheetFormatPr defaultRowHeight="13.8"/>
  <cols>
    <col min="1" max="1" width="15.3984375" hidden="1" customWidth="1"/>
    <col min="2" max="2" width="14.19921875" hidden="1" customWidth="1"/>
    <col min="3" max="3" width="8.796875" hidden="1" customWidth="1"/>
    <col min="4" max="4" width="13.8984375" hidden="1" customWidth="1"/>
    <col min="5" max="5" width="22.69921875" hidden="1" customWidth="1"/>
    <col min="6" max="6" width="15.59765625" style="1" hidden="1" customWidth="1"/>
    <col min="7" max="7" width="5.8984375" style="34" hidden="1" customWidth="1"/>
    <col min="8" max="8" width="15.3984375" hidden="1" customWidth="1"/>
    <col min="9" max="9" width="14.19921875" hidden="1" customWidth="1"/>
    <col min="10" max="10" width="8.796875" hidden="1" customWidth="1"/>
    <col min="11" max="11" width="13.8984375" hidden="1" customWidth="1"/>
    <col min="12" max="12" width="22.69921875" hidden="1" customWidth="1"/>
    <col min="13" max="13" width="15.59765625" style="1" hidden="1" customWidth="1"/>
    <col min="14" max="14" width="12.19921875" hidden="1" customWidth="1"/>
    <col min="15" max="15" width="39.19921875" hidden="1" customWidth="1"/>
    <col min="16" max="16" width="12.59765625" hidden="1" customWidth="1"/>
    <col min="17" max="18" width="8.796875" hidden="1" customWidth="1"/>
    <col min="19" max="19" width="16.796875" customWidth="1"/>
    <col min="20" max="20" width="13.19921875" customWidth="1"/>
    <col min="21" max="21" width="22.796875" customWidth="1"/>
    <col min="22" max="22" width="15.69921875" customWidth="1"/>
    <col min="23" max="23" width="16.8984375" customWidth="1"/>
    <col min="24" max="24" width="30.69921875" bestFit="1" customWidth="1"/>
    <col min="25" max="25" width="19" bestFit="1" customWidth="1"/>
    <col min="26" max="26" width="21" customWidth="1"/>
    <col min="27" max="27" width="10.8984375" customWidth="1"/>
    <col min="28" max="28" width="11.69921875" customWidth="1"/>
  </cols>
  <sheetData>
    <row r="1" spans="1:28" s="39" customFormat="1" ht="17.399999999999999">
      <c r="C1" s="39" t="s">
        <v>47</v>
      </c>
      <c r="E1" s="40"/>
      <c r="F1" s="41"/>
      <c r="G1" s="42"/>
      <c r="K1" s="39" t="s">
        <v>48</v>
      </c>
      <c r="L1" s="40"/>
      <c r="M1" s="41"/>
      <c r="S1" s="44" t="s">
        <v>58</v>
      </c>
      <c r="T1" s="39" t="s">
        <v>72</v>
      </c>
      <c r="X1" s="49"/>
      <c r="Y1" s="1"/>
      <c r="Z1"/>
    </row>
    <row r="2" spans="1:28" s="59" customFormat="1" ht="17.399999999999999">
      <c r="F2" s="60"/>
      <c r="G2" s="61"/>
      <c r="M2" s="60"/>
      <c r="S2" s="59" t="s">
        <v>57</v>
      </c>
    </row>
    <row r="3" spans="1:28">
      <c r="A3" s="29" t="s">
        <v>46</v>
      </c>
      <c r="B3" s="29"/>
      <c r="C3" s="29"/>
      <c r="D3" s="29"/>
      <c r="E3" s="43">
        <v>2400000</v>
      </c>
      <c r="H3" s="29" t="s">
        <v>46</v>
      </c>
      <c r="I3" s="29"/>
      <c r="J3" s="29"/>
      <c r="K3" s="29"/>
      <c r="L3" s="33">
        <f>E3</f>
        <v>2400000</v>
      </c>
      <c r="N3" s="1"/>
      <c r="O3" t="s">
        <v>2</v>
      </c>
      <c r="P3" s="9">
        <v>10000</v>
      </c>
      <c r="S3" s="29" t="s">
        <v>64</v>
      </c>
      <c r="T3" s="29"/>
      <c r="U3" s="29"/>
      <c r="V3" s="29"/>
      <c r="W3" s="57">
        <v>2135820</v>
      </c>
      <c r="X3" s="51"/>
      <c r="Y3" s="1"/>
    </row>
    <row r="4" spans="1:28">
      <c r="A4" t="s">
        <v>50</v>
      </c>
      <c r="W4" s="1"/>
      <c r="X4" s="51"/>
      <c r="Y4" s="1"/>
    </row>
    <row r="5" spans="1:28">
      <c r="A5" s="55" t="s">
        <v>1</v>
      </c>
      <c r="B5" s="55"/>
      <c r="C5" s="55"/>
      <c r="D5" s="55"/>
      <c r="E5" s="55"/>
      <c r="F5" s="6"/>
      <c r="G5" s="35"/>
      <c r="H5" s="55" t="s">
        <v>1</v>
      </c>
      <c r="I5" s="55"/>
      <c r="J5" s="55"/>
      <c r="K5" s="55"/>
      <c r="L5" s="55"/>
      <c r="M5" s="6"/>
      <c r="N5" s="50"/>
      <c r="O5" s="50"/>
      <c r="P5" s="3"/>
      <c r="S5" s="55" t="s">
        <v>1</v>
      </c>
      <c r="T5" s="55"/>
      <c r="U5" s="55"/>
      <c r="V5" s="55"/>
      <c r="W5" s="55"/>
      <c r="X5" s="1"/>
      <c r="Y5" s="1"/>
    </row>
    <row r="6" spans="1:28" ht="21.6" customHeight="1">
      <c r="A6" s="29" t="s">
        <v>33</v>
      </c>
      <c r="B6" s="29"/>
      <c r="C6" s="29"/>
      <c r="D6" s="29"/>
      <c r="E6" s="31">
        <f>E3*F6</f>
        <v>120000</v>
      </c>
      <c r="F6" s="32">
        <v>0.05</v>
      </c>
      <c r="G6" s="36"/>
      <c r="H6" s="29" t="s">
        <v>33</v>
      </c>
      <c r="I6" s="29"/>
      <c r="J6" s="29"/>
      <c r="K6" s="29"/>
      <c r="L6" s="31">
        <f>L3*M6</f>
        <v>120000</v>
      </c>
      <c r="M6" s="32">
        <f>F6</f>
        <v>0.05</v>
      </c>
      <c r="N6" s="17"/>
      <c r="O6" t="s">
        <v>33</v>
      </c>
      <c r="P6" s="8"/>
      <c r="S6" s="29" t="s">
        <v>51</v>
      </c>
      <c r="T6" s="29"/>
      <c r="U6" s="48"/>
      <c r="V6" s="29"/>
      <c r="W6" s="30">
        <f>7000*X6</f>
        <v>175000</v>
      </c>
      <c r="X6" s="32">
        <v>25</v>
      </c>
      <c r="Z6" s="1"/>
    </row>
    <row r="7" spans="1:28">
      <c r="A7" s="29" t="s">
        <v>29</v>
      </c>
      <c r="B7" s="29"/>
      <c r="C7" s="29"/>
      <c r="D7" s="29"/>
      <c r="E7" s="30">
        <f>IF((E3*40%)&gt;60000,60000,E3*40%)</f>
        <v>60000</v>
      </c>
      <c r="H7" s="29" t="s">
        <v>29</v>
      </c>
      <c r="I7" s="29"/>
      <c r="J7" s="29"/>
      <c r="K7" s="29"/>
      <c r="L7" s="30">
        <f>IF((L3*50%)&gt;100000,100000,L3*50%)</f>
        <v>100000</v>
      </c>
      <c r="N7" s="17"/>
      <c r="O7" t="s">
        <v>29</v>
      </c>
      <c r="P7" s="16">
        <v>100000</v>
      </c>
      <c r="S7" s="29" t="s">
        <v>52</v>
      </c>
      <c r="T7" s="29"/>
      <c r="U7" s="29"/>
      <c r="V7" s="29"/>
      <c r="W7" s="30">
        <f>(Z15-W6)*50%</f>
        <v>802425</v>
      </c>
      <c r="X7" s="1"/>
      <c r="Z7" s="1"/>
      <c r="AB7" s="1"/>
    </row>
    <row r="8" spans="1:28">
      <c r="A8" s="29" t="s">
        <v>28</v>
      </c>
      <c r="B8" s="29"/>
      <c r="C8" s="29"/>
      <c r="D8" s="29"/>
      <c r="E8" s="30">
        <v>30000</v>
      </c>
      <c r="H8" s="29" t="s">
        <v>28</v>
      </c>
      <c r="I8" s="29"/>
      <c r="J8" s="29"/>
      <c r="K8" s="29"/>
      <c r="L8" s="30">
        <v>60000</v>
      </c>
      <c r="N8" s="17"/>
      <c r="O8" t="s">
        <v>28</v>
      </c>
      <c r="P8" s="16">
        <v>60000</v>
      </c>
      <c r="S8" s="29"/>
      <c r="T8" s="29"/>
      <c r="U8" s="29"/>
      <c r="V8" s="29"/>
      <c r="W8" s="30"/>
      <c r="X8" s="1"/>
      <c r="Z8" s="13"/>
      <c r="AA8" s="62"/>
      <c r="AB8" s="13"/>
    </row>
    <row r="9" spans="1:28">
      <c r="A9" s="29" t="s">
        <v>30</v>
      </c>
      <c r="B9" s="29"/>
      <c r="C9" s="29"/>
      <c r="D9" s="29"/>
      <c r="E9" s="29"/>
      <c r="F9" s="17"/>
      <c r="G9" s="37"/>
      <c r="H9" s="29" t="s">
        <v>30</v>
      </c>
      <c r="I9" s="29"/>
      <c r="J9" s="29"/>
      <c r="K9" s="29"/>
      <c r="L9" s="29"/>
      <c r="M9" s="17"/>
      <c r="N9" t="s">
        <v>30</v>
      </c>
      <c r="O9" s="16"/>
      <c r="S9" s="29"/>
      <c r="T9" s="29"/>
      <c r="U9" s="29"/>
      <c r="V9" s="29"/>
      <c r="W9" s="29"/>
      <c r="X9" s="1"/>
      <c r="Z9" s="13"/>
      <c r="AA9" s="62"/>
      <c r="AB9" s="13"/>
    </row>
    <row r="10" spans="1:28">
      <c r="A10" s="29" t="s">
        <v>31</v>
      </c>
      <c r="B10" s="29"/>
      <c r="C10" s="29"/>
      <c r="D10" s="29"/>
      <c r="E10" s="29"/>
      <c r="F10" s="17"/>
      <c r="G10" s="37"/>
      <c r="H10" s="29" t="s">
        <v>31</v>
      </c>
      <c r="I10" s="29"/>
      <c r="J10" s="29"/>
      <c r="K10" s="29"/>
      <c r="L10" s="29"/>
      <c r="M10" s="17"/>
      <c r="N10" t="s">
        <v>31</v>
      </c>
      <c r="O10" s="16"/>
      <c r="S10" s="29"/>
      <c r="T10" s="29"/>
      <c r="U10" s="29"/>
      <c r="V10" s="29"/>
      <c r="W10" s="29"/>
    </row>
    <row r="11" spans="1:28">
      <c r="A11" s="29" t="s">
        <v>32</v>
      </c>
      <c r="B11" s="29"/>
      <c r="C11" s="29"/>
      <c r="D11" s="29"/>
      <c r="E11" s="29"/>
      <c r="F11" s="17"/>
      <c r="G11" s="37"/>
      <c r="H11" s="29" t="s">
        <v>32</v>
      </c>
      <c r="I11" s="29"/>
      <c r="J11" s="29"/>
      <c r="K11" s="29"/>
      <c r="L11" s="29"/>
      <c r="M11" s="17"/>
      <c r="N11" t="s">
        <v>32</v>
      </c>
      <c r="O11" s="16"/>
      <c r="S11" s="29"/>
      <c r="T11" s="29"/>
      <c r="U11" s="29"/>
      <c r="V11" s="29"/>
      <c r="W11" s="29"/>
      <c r="Y11" s="1"/>
    </row>
    <row r="12" spans="1:28">
      <c r="A12" s="29" t="s">
        <v>34</v>
      </c>
      <c r="B12" s="29"/>
      <c r="C12" s="29"/>
      <c r="D12" s="29"/>
      <c r="E12" s="29"/>
      <c r="F12" s="17"/>
      <c r="G12" s="37"/>
      <c r="H12" s="29" t="s">
        <v>34</v>
      </c>
      <c r="I12" s="29"/>
      <c r="J12" s="29"/>
      <c r="K12" s="29"/>
      <c r="L12" s="29"/>
      <c r="M12" s="17"/>
      <c r="N12" t="s">
        <v>34</v>
      </c>
      <c r="O12" s="16"/>
      <c r="S12" s="29"/>
      <c r="T12" s="29"/>
      <c r="U12" s="29"/>
      <c r="V12" s="29"/>
      <c r="W12" s="29"/>
      <c r="Y12" s="1"/>
      <c r="Z12" t="s">
        <v>55</v>
      </c>
    </row>
    <row r="13" spans="1:28">
      <c r="A13" s="29" t="s">
        <v>35</v>
      </c>
      <c r="B13" s="29"/>
      <c r="C13" s="29"/>
      <c r="D13" s="29"/>
      <c r="E13" s="29"/>
      <c r="F13" s="17"/>
      <c r="G13" s="37"/>
      <c r="H13" s="29" t="s">
        <v>35</v>
      </c>
      <c r="I13" s="29"/>
      <c r="J13" s="29"/>
      <c r="K13" s="29"/>
      <c r="L13" s="29"/>
      <c r="M13" s="17"/>
      <c r="N13" t="s">
        <v>35</v>
      </c>
      <c r="O13" s="16"/>
      <c r="S13" s="29"/>
      <c r="T13" s="29"/>
      <c r="U13" s="29"/>
      <c r="V13" s="29"/>
      <c r="W13" s="29"/>
      <c r="Y13" s="1"/>
      <c r="Z13" s="1">
        <v>71194</v>
      </c>
    </row>
    <row r="14" spans="1:28" ht="14.4" thickBot="1">
      <c r="A14" s="54" t="s">
        <v>36</v>
      </c>
      <c r="B14" s="54"/>
      <c r="C14" s="54"/>
      <c r="D14" s="54"/>
      <c r="E14" s="22">
        <f>SUM(E6:E13)</f>
        <v>210000</v>
      </c>
      <c r="F14"/>
      <c r="G14" s="38"/>
      <c r="H14" s="54" t="s">
        <v>36</v>
      </c>
      <c r="I14" s="54"/>
      <c r="J14" s="54"/>
      <c r="K14" s="54"/>
      <c r="L14" s="22">
        <f>SUM(L6:L13)</f>
        <v>280000</v>
      </c>
      <c r="M14"/>
      <c r="N14" s="18" t="s">
        <v>36</v>
      </c>
      <c r="O14" s="22">
        <f>SUM(P6:P13)</f>
        <v>160000</v>
      </c>
      <c r="S14" s="54" t="s">
        <v>36</v>
      </c>
      <c r="T14" s="54"/>
      <c r="U14" s="54"/>
      <c r="V14" s="54"/>
      <c r="W14" s="22">
        <f>SUM(W6:W13)</f>
        <v>977425</v>
      </c>
      <c r="Z14" s="1">
        <v>25</v>
      </c>
    </row>
    <row r="15" spans="1:28" ht="15" thickTop="1" thickBot="1">
      <c r="A15" s="51"/>
      <c r="B15" s="51"/>
      <c r="C15" s="51"/>
      <c r="D15" s="51"/>
      <c r="E15" s="1"/>
      <c r="F15"/>
      <c r="G15" s="38"/>
      <c r="H15" s="51"/>
      <c r="I15" s="51"/>
      <c r="J15" s="51"/>
      <c r="K15" s="51"/>
      <c r="L15" s="1"/>
      <c r="M15"/>
      <c r="S15" s="51"/>
      <c r="T15" s="51"/>
      <c r="U15" s="51"/>
      <c r="V15" s="51"/>
      <c r="W15" s="1"/>
      <c r="Z15" s="20">
        <f>Z13*Z14</f>
        <v>1779850</v>
      </c>
    </row>
    <row r="16" spans="1:28" ht="14.4" thickTop="1">
      <c r="A16" s="54" t="s">
        <v>45</v>
      </c>
      <c r="B16" s="54"/>
      <c r="C16" s="54"/>
      <c r="D16" s="54"/>
      <c r="E16" s="21">
        <f>E3-E14</f>
        <v>2190000</v>
      </c>
      <c r="F16"/>
      <c r="G16" s="38"/>
      <c r="H16" s="54" t="s">
        <v>45</v>
      </c>
      <c r="I16" s="54"/>
      <c r="J16" s="54"/>
      <c r="K16" s="54"/>
      <c r="L16" s="21">
        <f>L3-L14</f>
        <v>2120000</v>
      </c>
      <c r="M16"/>
      <c r="N16" t="s">
        <v>6</v>
      </c>
      <c r="O16" s="21" t="e">
        <f>#REF!-O14</f>
        <v>#REF!</v>
      </c>
      <c r="S16" s="54" t="s">
        <v>45</v>
      </c>
      <c r="T16" s="54"/>
      <c r="U16" s="54"/>
      <c r="V16" s="54"/>
      <c r="W16" s="21">
        <f>W3-W14</f>
        <v>1158395</v>
      </c>
    </row>
    <row r="17" spans="1:24">
      <c r="P17" s="1"/>
    </row>
    <row r="18" spans="1:24">
      <c r="A18" s="23" t="s">
        <v>44</v>
      </c>
      <c r="B18" s="23" t="s">
        <v>43</v>
      </c>
      <c r="C18" s="24" t="s">
        <v>42</v>
      </c>
      <c r="D18" s="23" t="s">
        <v>37</v>
      </c>
      <c r="E18" s="23" t="s">
        <v>41</v>
      </c>
      <c r="F18"/>
      <c r="G18" s="38"/>
      <c r="H18" s="23" t="s">
        <v>44</v>
      </c>
      <c r="I18" s="23" t="s">
        <v>43</v>
      </c>
      <c r="J18" s="24" t="s">
        <v>42</v>
      </c>
      <c r="K18" s="23" t="s">
        <v>37</v>
      </c>
      <c r="L18" s="23" t="s">
        <v>41</v>
      </c>
      <c r="M18"/>
      <c r="N18" t="s">
        <v>7</v>
      </c>
      <c r="O18" s="1">
        <v>0</v>
      </c>
      <c r="S18" s="23" t="s">
        <v>44</v>
      </c>
      <c r="T18" s="23" t="s">
        <v>43</v>
      </c>
      <c r="U18" s="24" t="s">
        <v>42</v>
      </c>
      <c r="V18" s="23" t="s">
        <v>37</v>
      </c>
      <c r="W18" s="23" t="s">
        <v>41</v>
      </c>
    </row>
    <row r="19" spans="1:24">
      <c r="A19" s="25">
        <v>0</v>
      </c>
      <c r="B19" s="26">
        <v>150000</v>
      </c>
      <c r="C19" s="19" t="s">
        <v>38</v>
      </c>
      <c r="D19" s="25">
        <f>IF((E16&gt;150000),150000,E16-B19)</f>
        <v>150000</v>
      </c>
      <c r="E19" s="25">
        <v>0</v>
      </c>
      <c r="F19"/>
      <c r="G19" s="38"/>
      <c r="H19" s="25">
        <v>0</v>
      </c>
      <c r="I19" s="26">
        <v>150000</v>
      </c>
      <c r="J19" s="19" t="s">
        <v>38</v>
      </c>
      <c r="K19" s="25">
        <f>IF((L16&gt;150000),150000,L16-I19)</f>
        <v>150000</v>
      </c>
      <c r="L19" s="25">
        <v>0</v>
      </c>
      <c r="M19"/>
      <c r="N19" t="s">
        <v>8</v>
      </c>
      <c r="O19" s="1">
        <f>35000</f>
        <v>35000</v>
      </c>
      <c r="S19" s="25">
        <v>0</v>
      </c>
      <c r="T19" s="26">
        <v>150000</v>
      </c>
      <c r="U19" s="27">
        <v>0.05</v>
      </c>
      <c r="V19" s="25">
        <f>IF((W16&gt;150000),150000,W16-T19)</f>
        <v>150000</v>
      </c>
      <c r="W19" s="25">
        <f t="shared" ref="W19:W25" si="0">IF((V19&lt;0),0,V19*U19)</f>
        <v>7500</v>
      </c>
    </row>
    <row r="20" spans="1:24">
      <c r="A20" s="25">
        <v>150001</v>
      </c>
      <c r="B20" s="26">
        <v>300000</v>
      </c>
      <c r="C20" s="27">
        <v>0.05</v>
      </c>
      <c r="D20" s="25">
        <f>IF((E16&gt;300000),150000,E16-B19)</f>
        <v>150000</v>
      </c>
      <c r="E20" s="25">
        <f t="shared" ref="E20:E25" si="1">IF((D20&lt;0),0,D20*C20)</f>
        <v>7500</v>
      </c>
      <c r="F20"/>
      <c r="G20" s="38"/>
      <c r="H20" s="25">
        <v>150001</v>
      </c>
      <c r="I20" s="26">
        <v>300000</v>
      </c>
      <c r="J20" s="27">
        <v>0.05</v>
      </c>
      <c r="K20" s="25">
        <f>IF((L16&gt;300000),150000,L16-I19)</f>
        <v>150000</v>
      </c>
      <c r="L20" s="25">
        <f t="shared" ref="L20:L25" si="2">IF((K20&lt;0),0,K20*J20)</f>
        <v>7500</v>
      </c>
      <c r="M20"/>
      <c r="N20" t="s">
        <v>9</v>
      </c>
      <c r="O20" s="1" t="e">
        <f>(O16-500000)*20%</f>
        <v>#REF!</v>
      </c>
      <c r="S20" s="25">
        <v>150001</v>
      </c>
      <c r="T20" s="26">
        <v>300000</v>
      </c>
      <c r="U20" s="27">
        <v>0.05</v>
      </c>
      <c r="V20" s="25">
        <f>IF((W16&gt;300000),150000,W16-T20)</f>
        <v>150000</v>
      </c>
      <c r="W20" s="25">
        <f t="shared" si="0"/>
        <v>7500</v>
      </c>
    </row>
    <row r="21" spans="1:24">
      <c r="A21" s="25">
        <v>300001</v>
      </c>
      <c r="B21" s="26">
        <v>500000</v>
      </c>
      <c r="C21" s="27">
        <v>0.1</v>
      </c>
      <c r="D21" s="25">
        <f>IF((E16&gt;500000),200000,E16-B20)</f>
        <v>200000</v>
      </c>
      <c r="E21" s="25">
        <f t="shared" si="1"/>
        <v>20000</v>
      </c>
      <c r="F21"/>
      <c r="G21" s="38"/>
      <c r="H21" s="25">
        <v>300001</v>
      </c>
      <c r="I21" s="26">
        <v>500000</v>
      </c>
      <c r="J21" s="27">
        <v>0.1</v>
      </c>
      <c r="K21" s="25">
        <f>IF((L16&gt;500000),200000,L16-I20)</f>
        <v>200000</v>
      </c>
      <c r="L21" s="25">
        <f t="shared" si="2"/>
        <v>20000</v>
      </c>
      <c r="M21"/>
      <c r="S21" s="25">
        <v>300001</v>
      </c>
      <c r="T21" s="26">
        <v>500000</v>
      </c>
      <c r="U21" s="27">
        <v>0.1</v>
      </c>
      <c r="V21" s="25">
        <f>IF((W16&gt;500000),200000,W16-T20)</f>
        <v>200000</v>
      </c>
      <c r="W21" s="25">
        <f t="shared" si="0"/>
        <v>20000</v>
      </c>
    </row>
    <row r="22" spans="1:24">
      <c r="A22" s="25">
        <v>500001</v>
      </c>
      <c r="B22" s="26">
        <v>750000</v>
      </c>
      <c r="C22" s="27">
        <v>0.15000000000000002</v>
      </c>
      <c r="D22" s="25">
        <f>IF((E16&gt;750000),250000,E16-B21)</f>
        <v>250000</v>
      </c>
      <c r="E22" s="25">
        <f t="shared" si="1"/>
        <v>37500.000000000007</v>
      </c>
      <c r="F22"/>
      <c r="G22" s="38"/>
      <c r="H22" s="25">
        <v>500001</v>
      </c>
      <c r="I22" s="26">
        <v>750000</v>
      </c>
      <c r="J22" s="27">
        <v>0.15000000000000002</v>
      </c>
      <c r="K22" s="25">
        <f>IF((L16&gt;750000),250000,L16-I21)</f>
        <v>250000</v>
      </c>
      <c r="L22" s="25">
        <f t="shared" si="2"/>
        <v>37500.000000000007</v>
      </c>
      <c r="M22"/>
      <c r="N22" t="s">
        <v>11</v>
      </c>
      <c r="O22" s="1" t="e">
        <f>SUM(O18:O20)</f>
        <v>#REF!</v>
      </c>
      <c r="S22" s="25">
        <v>500001</v>
      </c>
      <c r="T22" s="26">
        <v>750000</v>
      </c>
      <c r="U22" s="27">
        <v>0.15000000000000002</v>
      </c>
      <c r="V22" s="25">
        <f>IF((W16&gt;750000),250000,W16-T21)</f>
        <v>250000</v>
      </c>
      <c r="W22" s="25">
        <f t="shared" si="0"/>
        <v>37500.000000000007</v>
      </c>
    </row>
    <row r="23" spans="1:24">
      <c r="A23" s="25">
        <v>750001</v>
      </c>
      <c r="B23" s="26">
        <v>1000000</v>
      </c>
      <c r="C23" s="27">
        <v>0.2</v>
      </c>
      <c r="D23" s="25">
        <f>IF((E16&gt;1000000),250000,E16-B22)</f>
        <v>250000</v>
      </c>
      <c r="E23" s="25">
        <f t="shared" si="1"/>
        <v>50000</v>
      </c>
      <c r="F23"/>
      <c r="G23" s="38"/>
      <c r="H23" s="25">
        <v>750001</v>
      </c>
      <c r="I23" s="26">
        <v>1000000</v>
      </c>
      <c r="J23" s="27">
        <v>0.2</v>
      </c>
      <c r="K23" s="25">
        <f>IF((L16&gt;1000000),250000,L16-I22)</f>
        <v>250000</v>
      </c>
      <c r="L23" s="25">
        <f t="shared" si="2"/>
        <v>50000</v>
      </c>
      <c r="M23"/>
      <c r="S23" s="25">
        <v>750001</v>
      </c>
      <c r="T23" s="26">
        <v>1000000</v>
      </c>
      <c r="U23" s="27">
        <v>0.2</v>
      </c>
      <c r="V23" s="25">
        <f>IF((W16&gt;1000000),250000,W16-T22)</f>
        <v>250000</v>
      </c>
      <c r="W23" s="25">
        <f t="shared" si="0"/>
        <v>50000</v>
      </c>
    </row>
    <row r="24" spans="1:24">
      <c r="A24" s="25">
        <v>1000001</v>
      </c>
      <c r="B24" s="26">
        <v>2000000</v>
      </c>
      <c r="C24" s="27">
        <v>0.25</v>
      </c>
      <c r="D24" s="25">
        <f>IF((E16&gt;2000000),1000000,E16-B23)</f>
        <v>1000000</v>
      </c>
      <c r="E24" s="25">
        <f t="shared" si="1"/>
        <v>250000</v>
      </c>
      <c r="F24"/>
      <c r="G24" s="38"/>
      <c r="H24" s="25">
        <v>1000001</v>
      </c>
      <c r="I24" s="26">
        <v>2000000</v>
      </c>
      <c r="J24" s="27">
        <v>0.25</v>
      </c>
      <c r="K24" s="25">
        <f>IF((L16&gt;2000000),1000000,L16-I23)</f>
        <v>1000000</v>
      </c>
      <c r="L24" s="25">
        <f t="shared" si="2"/>
        <v>250000</v>
      </c>
      <c r="M24"/>
      <c r="S24" s="25">
        <v>1000001</v>
      </c>
      <c r="T24" s="26">
        <v>2000000</v>
      </c>
      <c r="U24" s="27">
        <v>0.25</v>
      </c>
      <c r="V24" s="25">
        <f>IF((W16&gt;2000000),1000000,W16-T23)</f>
        <v>158395</v>
      </c>
      <c r="W24" s="25">
        <f t="shared" si="0"/>
        <v>39598.75</v>
      </c>
    </row>
    <row r="25" spans="1:24">
      <c r="A25" s="25">
        <v>2000001</v>
      </c>
      <c r="B25" s="26">
        <v>4000000</v>
      </c>
      <c r="C25" s="27">
        <v>0.3</v>
      </c>
      <c r="D25" s="25">
        <f>IF((E16&gt;4000000),2000000,E16-B24)</f>
        <v>190000</v>
      </c>
      <c r="E25" s="25">
        <f t="shared" si="1"/>
        <v>57000</v>
      </c>
      <c r="F25"/>
      <c r="G25" s="38"/>
      <c r="H25" s="25">
        <v>2000001</v>
      </c>
      <c r="I25" s="26">
        <v>4000000</v>
      </c>
      <c r="J25" s="27">
        <v>0.3</v>
      </c>
      <c r="K25" s="25">
        <f>IF((L16&gt;4000000),2000000,L16-I24)</f>
        <v>120000</v>
      </c>
      <c r="L25" s="25">
        <f t="shared" si="2"/>
        <v>36000</v>
      </c>
      <c r="M25"/>
      <c r="S25" s="25">
        <v>2000001</v>
      </c>
      <c r="T25" s="26">
        <v>4000000</v>
      </c>
      <c r="U25" s="27">
        <v>0.3</v>
      </c>
      <c r="V25" s="25">
        <f>IF((W16&gt;5000000),3000000,W16-T24)</f>
        <v>-841605</v>
      </c>
      <c r="W25" s="25">
        <f t="shared" si="0"/>
        <v>0</v>
      </c>
    </row>
    <row r="26" spans="1:24">
      <c r="A26" s="25">
        <v>4000001</v>
      </c>
      <c r="B26" s="26"/>
      <c r="C26" s="27">
        <v>0.35</v>
      </c>
      <c r="D26" s="25" t="b">
        <f>IF((E16&gt;4000000),E16-B25)</f>
        <v>0</v>
      </c>
      <c r="E26" s="25">
        <f>D26*C26</f>
        <v>0</v>
      </c>
      <c r="F26"/>
      <c r="G26" s="38"/>
      <c r="H26" s="25">
        <v>4000001</v>
      </c>
      <c r="I26" s="26"/>
      <c r="J26" s="27">
        <v>0.35</v>
      </c>
      <c r="K26" s="25" t="b">
        <f>IF((L16&gt;4000000),L16-I25)</f>
        <v>0</v>
      </c>
      <c r="L26" s="25">
        <f>K26*J26</f>
        <v>0</v>
      </c>
      <c r="M26"/>
      <c r="S26" s="25">
        <v>5000001</v>
      </c>
      <c r="T26" s="26"/>
      <c r="U26" s="27">
        <v>0.35</v>
      </c>
      <c r="V26" s="25" t="b">
        <f>IF((W16&gt;5000000),W16-T25)</f>
        <v>0</v>
      </c>
      <c r="W26" s="25">
        <f>V26*U26</f>
        <v>0</v>
      </c>
    </row>
    <row r="27" spans="1:24">
      <c r="A27" s="52" t="s">
        <v>39</v>
      </c>
      <c r="B27" s="52"/>
      <c r="C27" s="52"/>
      <c r="D27" s="52"/>
      <c r="E27" s="21">
        <f>SUM(E19:E26)</f>
        <v>422000</v>
      </c>
      <c r="F27"/>
      <c r="G27" s="38"/>
      <c r="H27" s="52" t="s">
        <v>39</v>
      </c>
      <c r="I27" s="52"/>
      <c r="J27" s="52"/>
      <c r="K27" s="52"/>
      <c r="L27" s="21">
        <f>SUM(L19:L26)</f>
        <v>401000</v>
      </c>
      <c r="M27"/>
      <c r="N27" t="s">
        <v>10</v>
      </c>
      <c r="O27" s="1">
        <f>L22</f>
        <v>37500.000000000007</v>
      </c>
      <c r="S27" s="52" t="s">
        <v>39</v>
      </c>
      <c r="T27" s="52"/>
      <c r="U27" s="52"/>
      <c r="V27" s="52"/>
      <c r="W27" s="21">
        <f>SUM(W19:W26)</f>
        <v>162098.75</v>
      </c>
      <c r="X27" s="1"/>
    </row>
    <row r="28" spans="1:24" ht="14.4" thickBot="1">
      <c r="A28" s="53" t="s">
        <v>40</v>
      </c>
      <c r="B28" s="53"/>
      <c r="C28" s="53"/>
      <c r="D28" s="53"/>
      <c r="E28" s="28">
        <f>E27/12</f>
        <v>35166.666666666664</v>
      </c>
      <c r="F28"/>
      <c r="G28" s="38"/>
      <c r="H28" s="53" t="s">
        <v>40</v>
      </c>
      <c r="I28" s="53"/>
      <c r="J28" s="53"/>
      <c r="K28" s="53"/>
      <c r="L28" s="28">
        <f>L27/12</f>
        <v>33416.666666666664</v>
      </c>
      <c r="M28"/>
      <c r="N28" t="s">
        <v>19</v>
      </c>
      <c r="O28" s="13">
        <v>22489.01</v>
      </c>
      <c r="S28" s="53" t="s">
        <v>40</v>
      </c>
      <c r="T28" s="53"/>
      <c r="U28" s="53"/>
      <c r="V28" s="53"/>
      <c r="W28" s="28">
        <f>W27</f>
        <v>162098.75</v>
      </c>
    </row>
    <row r="29" spans="1:24" ht="14.4" thickTop="1">
      <c r="P29" s="13">
        <f>O27+O28</f>
        <v>59989.010000000009</v>
      </c>
    </row>
    <row r="30" spans="1:24">
      <c r="O30" t="s">
        <v>14</v>
      </c>
      <c r="P30" s="1" t="e">
        <f>O22-P29</f>
        <v>#REF!</v>
      </c>
    </row>
    <row r="31" spans="1:24" ht="18" thickBot="1">
      <c r="S31" s="56" t="s">
        <v>68</v>
      </c>
      <c r="T31" s="56"/>
      <c r="U31" s="56"/>
      <c r="V31" s="56"/>
      <c r="W31" s="45">
        <f>W28</f>
        <v>162098.75</v>
      </c>
      <c r="X31" s="64"/>
    </row>
    <row r="32" spans="1:24" ht="15" thickTop="1" thickBot="1">
      <c r="P32" s="1"/>
    </row>
    <row r="33" spans="15:23" ht="14.4" thickBot="1">
      <c r="O33" t="s">
        <v>16</v>
      </c>
      <c r="P33" s="12" t="e">
        <f>P30+L26</f>
        <v>#REF!</v>
      </c>
    </row>
    <row r="35" spans="15:23">
      <c r="W35" s="1"/>
    </row>
    <row r="72" spans="6:26" s="59" customFormat="1" ht="17.399999999999999">
      <c r="F72" s="60"/>
      <c r="G72" s="61"/>
      <c r="M72" s="60"/>
      <c r="S72" s="59" t="s">
        <v>62</v>
      </c>
    </row>
    <row r="74" spans="6:26">
      <c r="S74" s="29" t="s">
        <v>2</v>
      </c>
      <c r="T74" s="29"/>
      <c r="U74" s="29"/>
      <c r="V74" s="29"/>
      <c r="W74" s="57">
        <v>2297918.75</v>
      </c>
      <c r="X74" s="51"/>
      <c r="Y74" s="1"/>
    </row>
    <row r="75" spans="6:26">
      <c r="W75" s="1"/>
      <c r="X75" s="51"/>
      <c r="Y75" s="1"/>
    </row>
    <row r="76" spans="6:26">
      <c r="S76" s="55" t="s">
        <v>1</v>
      </c>
      <c r="T76" s="55"/>
      <c r="U76" s="55"/>
      <c r="V76" s="55"/>
      <c r="W76" s="55"/>
      <c r="X76" s="1"/>
      <c r="Y76" s="1"/>
    </row>
    <row r="77" spans="6:26">
      <c r="S77" s="29" t="s">
        <v>51</v>
      </c>
      <c r="T77" s="29"/>
      <c r="U77" s="48"/>
      <c r="V77" s="29"/>
      <c r="W77" s="30">
        <f>7000*X77</f>
        <v>175000</v>
      </c>
      <c r="X77" s="32">
        <v>25</v>
      </c>
      <c r="Z77" s="1" t="s">
        <v>59</v>
      </c>
    </row>
    <row r="78" spans="6:26">
      <c r="S78" s="29" t="s">
        <v>52</v>
      </c>
      <c r="T78" s="29"/>
      <c r="U78" s="29"/>
      <c r="V78" s="29"/>
      <c r="W78" s="30">
        <f>(Z86-W77)*50%</f>
        <v>802425</v>
      </c>
      <c r="X78" s="1"/>
      <c r="Y78" s="58" t="s">
        <v>61</v>
      </c>
      <c r="Z78" s="1">
        <v>2135820</v>
      </c>
    </row>
    <row r="79" spans="6:26">
      <c r="S79" s="29"/>
      <c r="T79" s="29"/>
      <c r="U79" s="29"/>
      <c r="V79" s="29"/>
      <c r="W79" s="30"/>
      <c r="X79" s="1"/>
      <c r="Y79" s="58" t="s">
        <v>60</v>
      </c>
      <c r="Z79" s="1">
        <v>162098.75</v>
      </c>
    </row>
    <row r="80" spans="6:26" ht="14.4" thickBot="1">
      <c r="S80" s="29"/>
      <c r="T80" s="29"/>
      <c r="U80" s="29"/>
      <c r="V80" s="29"/>
      <c r="W80" s="29"/>
      <c r="X80" s="1"/>
      <c r="Z80" s="20">
        <f>Z78+Z79</f>
        <v>2297918.75</v>
      </c>
    </row>
    <row r="81" spans="19:26" ht="14.4" thickTop="1">
      <c r="S81" s="29"/>
      <c r="T81" s="29"/>
      <c r="U81" s="29"/>
      <c r="V81" s="29"/>
      <c r="W81" s="29"/>
    </row>
    <row r="82" spans="19:26">
      <c r="S82" s="29"/>
      <c r="T82" s="29"/>
      <c r="U82" s="29"/>
      <c r="V82" s="29"/>
      <c r="W82" s="29"/>
      <c r="Y82" s="1"/>
    </row>
    <row r="83" spans="19:26">
      <c r="S83" s="29"/>
      <c r="T83" s="29"/>
      <c r="U83" s="29"/>
      <c r="V83" s="29"/>
      <c r="W83" s="29"/>
      <c r="Y83" s="1"/>
      <c r="Z83" t="s">
        <v>55</v>
      </c>
    </row>
    <row r="84" spans="19:26">
      <c r="S84" s="29"/>
      <c r="T84" s="29"/>
      <c r="U84" s="29"/>
      <c r="V84" s="29"/>
      <c r="W84" s="29"/>
      <c r="Y84" s="1"/>
      <c r="Z84" s="1">
        <v>71194</v>
      </c>
    </row>
    <row r="85" spans="19:26" ht="14.4" thickBot="1">
      <c r="S85" s="54" t="s">
        <v>36</v>
      </c>
      <c r="T85" s="54"/>
      <c r="U85" s="54"/>
      <c r="V85" s="54"/>
      <c r="W85" s="22">
        <f>SUM(W77:W84)</f>
        <v>977425</v>
      </c>
      <c r="Z85" s="1">
        <v>25</v>
      </c>
    </row>
    <row r="86" spans="19:26" ht="15" thickTop="1" thickBot="1">
      <c r="S86" s="51"/>
      <c r="T86" s="51"/>
      <c r="U86" s="51"/>
      <c r="V86" s="51"/>
      <c r="W86" s="1"/>
      <c r="Z86" s="20">
        <f>Z84*Z85</f>
        <v>1779850</v>
      </c>
    </row>
    <row r="87" spans="19:26" ht="14.4" thickTop="1">
      <c r="S87" s="54" t="s">
        <v>45</v>
      </c>
      <c r="T87" s="54"/>
      <c r="U87" s="54"/>
      <c r="V87" s="54"/>
      <c r="W87" s="21">
        <f>W74-W85</f>
        <v>1320493.75</v>
      </c>
    </row>
    <row r="89" spans="19:26">
      <c r="S89" s="23" t="s">
        <v>44</v>
      </c>
      <c r="T89" s="23" t="s">
        <v>43</v>
      </c>
      <c r="U89" s="24" t="s">
        <v>42</v>
      </c>
      <c r="V89" s="23" t="s">
        <v>37</v>
      </c>
      <c r="W89" s="23" t="s">
        <v>41</v>
      </c>
    </row>
    <row r="90" spans="19:26">
      <c r="S90" s="25">
        <v>0</v>
      </c>
      <c r="T90" s="26">
        <v>150000</v>
      </c>
      <c r="U90" s="27">
        <v>0.05</v>
      </c>
      <c r="V90" s="25">
        <f>IF((W87&gt;150000),150000,W87-T90)</f>
        <v>150000</v>
      </c>
      <c r="W90" s="25">
        <f t="shared" ref="W90:W96" si="3">IF((V90&lt;0),0,V90*U90)</f>
        <v>7500</v>
      </c>
    </row>
    <row r="91" spans="19:26">
      <c r="S91" s="25">
        <v>150001</v>
      </c>
      <c r="T91" s="26">
        <v>300000</v>
      </c>
      <c r="U91" s="27">
        <v>0.05</v>
      </c>
      <c r="V91" s="25">
        <f>IF((W87&gt;300000),150000,W87-T91)</f>
        <v>150000</v>
      </c>
      <c r="W91" s="25">
        <f t="shared" si="3"/>
        <v>7500</v>
      </c>
    </row>
    <row r="92" spans="19:26">
      <c r="S92" s="25">
        <v>300001</v>
      </c>
      <c r="T92" s="26">
        <v>500000</v>
      </c>
      <c r="U92" s="27">
        <v>0.1</v>
      </c>
      <c r="V92" s="25">
        <f>IF((W87&gt;500000),200000,W87-T91)</f>
        <v>200000</v>
      </c>
      <c r="W92" s="25">
        <f t="shared" si="3"/>
        <v>20000</v>
      </c>
    </row>
    <row r="93" spans="19:26">
      <c r="S93" s="25">
        <v>500001</v>
      </c>
      <c r="T93" s="26">
        <v>750000</v>
      </c>
      <c r="U93" s="27">
        <v>0.15000000000000002</v>
      </c>
      <c r="V93" s="25">
        <f>IF((W87&gt;750000),250000,W87-T92)</f>
        <v>250000</v>
      </c>
      <c r="W93" s="25">
        <f t="shared" si="3"/>
        <v>37500.000000000007</v>
      </c>
    </row>
    <row r="94" spans="19:26">
      <c r="S94" s="25">
        <v>750001</v>
      </c>
      <c r="T94" s="26">
        <v>1000000</v>
      </c>
      <c r="U94" s="27">
        <v>0.2</v>
      </c>
      <c r="V94" s="25">
        <f>IF((W87&gt;1000000),250000,W87-T93)</f>
        <v>250000</v>
      </c>
      <c r="W94" s="25">
        <f t="shared" si="3"/>
        <v>50000</v>
      </c>
    </row>
    <row r="95" spans="19:26">
      <c r="S95" s="25">
        <v>1000001</v>
      </c>
      <c r="T95" s="26">
        <v>2000000</v>
      </c>
      <c r="U95" s="27">
        <v>0.25</v>
      </c>
      <c r="V95" s="25">
        <f>IF((W87&gt;2000000),1000000,W87-T94)</f>
        <v>320493.75</v>
      </c>
      <c r="W95" s="25">
        <f t="shared" si="3"/>
        <v>80123.4375</v>
      </c>
    </row>
    <row r="96" spans="19:26">
      <c r="S96" s="25">
        <v>2000001</v>
      </c>
      <c r="T96" s="26">
        <v>4000000</v>
      </c>
      <c r="U96" s="27">
        <v>0.3</v>
      </c>
      <c r="V96" s="25">
        <f>IF((W87&gt;5000000),3000000,W87-T95)</f>
        <v>-679506.25</v>
      </c>
      <c r="W96" s="25">
        <f t="shared" si="3"/>
        <v>0</v>
      </c>
    </row>
    <row r="97" spans="19:24">
      <c r="S97" s="25">
        <v>5000001</v>
      </c>
      <c r="T97" s="26"/>
      <c r="U97" s="27">
        <v>0.35</v>
      </c>
      <c r="V97" s="25" t="b">
        <f>IF((W87&gt;5000000),W87-T96)</f>
        <v>0</v>
      </c>
      <c r="W97" s="25">
        <f>V97*U97</f>
        <v>0</v>
      </c>
    </row>
    <row r="98" spans="19:24">
      <c r="S98" s="52" t="s">
        <v>39</v>
      </c>
      <c r="T98" s="52"/>
      <c r="U98" s="52"/>
      <c r="V98" s="52"/>
      <c r="W98" s="21">
        <f>SUM(W90:W97)</f>
        <v>202623.4375</v>
      </c>
      <c r="X98" s="1"/>
    </row>
    <row r="99" spans="19:24" ht="14.4" thickBot="1">
      <c r="S99" s="53" t="s">
        <v>40</v>
      </c>
      <c r="T99" s="53"/>
      <c r="U99" s="53"/>
      <c r="V99" s="53"/>
      <c r="W99" s="28">
        <f>W98</f>
        <v>202623.4375</v>
      </c>
    </row>
    <row r="100" spans="19:24" ht="14.4" thickTop="1"/>
    <row r="102" spans="19:24" ht="14.4" thickBot="1">
      <c r="S102" s="56" t="s">
        <v>69</v>
      </c>
      <c r="T102" s="56"/>
      <c r="U102" s="56"/>
      <c r="V102" s="56"/>
      <c r="W102" s="45">
        <f>W99</f>
        <v>202623.4375</v>
      </c>
    </row>
    <row r="103" spans="19:24" ht="14.4" thickTop="1"/>
  </sheetData>
  <mergeCells count="22">
    <mergeCell ref="S87:V87"/>
    <mergeCell ref="S98:V98"/>
    <mergeCell ref="S99:V99"/>
    <mergeCell ref="S102:V102"/>
    <mergeCell ref="A28:D28"/>
    <mergeCell ref="H28:K28"/>
    <mergeCell ref="S28:V28"/>
    <mergeCell ref="S31:V31"/>
    <mergeCell ref="S76:W76"/>
    <mergeCell ref="S85:V85"/>
    <mergeCell ref="A16:D16"/>
    <mergeCell ref="H16:K16"/>
    <mergeCell ref="S16:V16"/>
    <mergeCell ref="A27:D27"/>
    <mergeCell ref="H27:K27"/>
    <mergeCell ref="S27:V27"/>
    <mergeCell ref="A5:E5"/>
    <mergeCell ref="H5:L5"/>
    <mergeCell ref="S5:W5"/>
    <mergeCell ref="A14:D14"/>
    <mergeCell ref="H14:K14"/>
    <mergeCell ref="S14:V1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B103"/>
  <sheetViews>
    <sheetView topLeftCell="S58" zoomScale="70" zoomScaleNormal="70" workbookViewId="0">
      <selection activeCell="W87" sqref="W87"/>
    </sheetView>
  </sheetViews>
  <sheetFormatPr defaultRowHeight="13.8"/>
  <cols>
    <col min="1" max="1" width="15.3984375" hidden="1" customWidth="1"/>
    <col min="2" max="2" width="14.19921875" hidden="1" customWidth="1"/>
    <col min="3" max="3" width="8.796875" hidden="1" customWidth="1"/>
    <col min="4" max="4" width="13.8984375" hidden="1" customWidth="1"/>
    <col min="5" max="5" width="22.69921875" hidden="1" customWidth="1"/>
    <col min="6" max="6" width="15.59765625" style="1" hidden="1" customWidth="1"/>
    <col min="7" max="7" width="5.8984375" style="34" hidden="1" customWidth="1"/>
    <col min="8" max="8" width="15.3984375" hidden="1" customWidth="1"/>
    <col min="9" max="9" width="14.19921875" hidden="1" customWidth="1"/>
    <col min="10" max="10" width="8.796875" hidden="1" customWidth="1"/>
    <col min="11" max="11" width="13.8984375" hidden="1" customWidth="1"/>
    <col min="12" max="12" width="22.69921875" hidden="1" customWidth="1"/>
    <col min="13" max="13" width="15.59765625" style="1" hidden="1" customWidth="1"/>
    <col min="14" max="14" width="12.19921875" hidden="1" customWidth="1"/>
    <col min="15" max="15" width="39.19921875" hidden="1" customWidth="1"/>
    <col min="16" max="16" width="12.59765625" hidden="1" customWidth="1"/>
    <col min="17" max="18" width="8.796875" hidden="1" customWidth="1"/>
    <col min="19" max="19" width="16.796875" customWidth="1"/>
    <col min="20" max="20" width="13.19921875" customWidth="1"/>
    <col min="21" max="21" width="22.796875" customWidth="1"/>
    <col min="22" max="22" width="15.69921875" customWidth="1"/>
    <col min="23" max="23" width="16.8984375" customWidth="1"/>
    <col min="24" max="24" width="30.69921875" bestFit="1" customWidth="1"/>
    <col min="25" max="25" width="19" bestFit="1" customWidth="1"/>
    <col min="26" max="26" width="21" customWidth="1"/>
    <col min="27" max="27" width="10.8984375" customWidth="1"/>
    <col min="28" max="28" width="11.69921875" customWidth="1"/>
  </cols>
  <sheetData>
    <row r="1" spans="1:28" s="39" customFormat="1" ht="17.399999999999999">
      <c r="C1" s="39" t="s">
        <v>47</v>
      </c>
      <c r="E1" s="40"/>
      <c r="F1" s="41"/>
      <c r="G1" s="42"/>
      <c r="K1" s="39" t="s">
        <v>48</v>
      </c>
      <c r="L1" s="40"/>
      <c r="M1" s="41"/>
      <c r="S1" s="44" t="s">
        <v>77</v>
      </c>
      <c r="T1" s="39" t="s">
        <v>72</v>
      </c>
      <c r="X1" s="49"/>
      <c r="Y1" s="1"/>
      <c r="Z1"/>
    </row>
    <row r="2" spans="1:28" s="59" customFormat="1" ht="17.399999999999999">
      <c r="F2" s="60"/>
      <c r="G2" s="61"/>
      <c r="M2" s="60"/>
      <c r="S2" s="59" t="s">
        <v>57</v>
      </c>
    </row>
    <row r="3" spans="1:28">
      <c r="A3" s="29" t="s">
        <v>46</v>
      </c>
      <c r="B3" s="29"/>
      <c r="C3" s="29"/>
      <c r="D3" s="29"/>
      <c r="E3" s="43">
        <v>2400000</v>
      </c>
      <c r="H3" s="29" t="s">
        <v>46</v>
      </c>
      <c r="I3" s="29"/>
      <c r="J3" s="29"/>
      <c r="K3" s="29"/>
      <c r="L3" s="33">
        <f>E3</f>
        <v>2400000</v>
      </c>
      <c r="N3" s="1"/>
      <c r="O3" t="s">
        <v>2</v>
      </c>
      <c r="P3" s="9">
        <v>10000</v>
      </c>
      <c r="S3" s="29" t="s">
        <v>64</v>
      </c>
      <c r="T3" s="29"/>
      <c r="U3" s="29"/>
      <c r="V3" s="29"/>
      <c r="W3" s="57">
        <v>2012580</v>
      </c>
      <c r="X3" s="51"/>
      <c r="Y3" s="1"/>
    </row>
    <row r="4" spans="1:28">
      <c r="A4" t="s">
        <v>50</v>
      </c>
      <c r="W4" s="1"/>
      <c r="X4" s="51"/>
      <c r="Y4" s="1"/>
    </row>
    <row r="5" spans="1:28">
      <c r="A5" s="55" t="s">
        <v>1</v>
      </c>
      <c r="B5" s="55"/>
      <c r="C5" s="55"/>
      <c r="D5" s="55"/>
      <c r="E5" s="55"/>
      <c r="F5" s="6"/>
      <c r="G5" s="35"/>
      <c r="H5" s="55" t="s">
        <v>1</v>
      </c>
      <c r="I5" s="55"/>
      <c r="J5" s="55"/>
      <c r="K5" s="55"/>
      <c r="L5" s="55"/>
      <c r="M5" s="6"/>
      <c r="N5" s="50"/>
      <c r="O5" s="50"/>
      <c r="P5" s="3"/>
      <c r="S5" s="55" t="s">
        <v>1</v>
      </c>
      <c r="T5" s="55"/>
      <c r="U5" s="55"/>
      <c r="V5" s="55"/>
      <c r="W5" s="55"/>
      <c r="X5" s="1"/>
      <c r="Y5" s="1"/>
    </row>
    <row r="6" spans="1:28" ht="21.6" customHeight="1">
      <c r="A6" s="29" t="s">
        <v>33</v>
      </c>
      <c r="B6" s="29"/>
      <c r="C6" s="29"/>
      <c r="D6" s="29"/>
      <c r="E6" s="31">
        <f>E3*F6</f>
        <v>120000</v>
      </c>
      <c r="F6" s="32">
        <v>0.05</v>
      </c>
      <c r="G6" s="36"/>
      <c r="H6" s="29" t="s">
        <v>33</v>
      </c>
      <c r="I6" s="29"/>
      <c r="J6" s="29"/>
      <c r="K6" s="29"/>
      <c r="L6" s="31">
        <f>L3*M6</f>
        <v>120000</v>
      </c>
      <c r="M6" s="32">
        <f>F6</f>
        <v>0.05</v>
      </c>
      <c r="N6" s="17"/>
      <c r="O6" t="s">
        <v>33</v>
      </c>
      <c r="P6" s="8"/>
      <c r="S6" s="29" t="s">
        <v>51</v>
      </c>
      <c r="T6" s="29"/>
      <c r="U6" s="48"/>
      <c r="V6" s="29"/>
      <c r="W6" s="30">
        <f>7000*X6</f>
        <v>189000</v>
      </c>
      <c r="X6" s="32">
        <v>27</v>
      </c>
      <c r="Z6" s="1"/>
    </row>
    <row r="7" spans="1:28">
      <c r="A7" s="29" t="s">
        <v>29</v>
      </c>
      <c r="B7" s="29"/>
      <c r="C7" s="29"/>
      <c r="D7" s="29"/>
      <c r="E7" s="30">
        <f>IF((E3*40%)&gt;60000,60000,E3*40%)</f>
        <v>60000</v>
      </c>
      <c r="H7" s="29" t="s">
        <v>29</v>
      </c>
      <c r="I7" s="29"/>
      <c r="J7" s="29"/>
      <c r="K7" s="29"/>
      <c r="L7" s="30">
        <f>IF((L3*50%)&gt;100000,100000,L3*50%)</f>
        <v>100000</v>
      </c>
      <c r="N7" s="17"/>
      <c r="O7" t="s">
        <v>29</v>
      </c>
      <c r="P7" s="16">
        <v>100000</v>
      </c>
      <c r="S7" s="29" t="s">
        <v>52</v>
      </c>
      <c r="T7" s="29"/>
      <c r="U7" s="29"/>
      <c r="V7" s="29"/>
      <c r="W7" s="30">
        <f>(Z15-W6)*50%</f>
        <v>811161</v>
      </c>
      <c r="X7" s="1"/>
      <c r="Z7" s="1"/>
      <c r="AB7" s="1"/>
    </row>
    <row r="8" spans="1:28">
      <c r="A8" s="29" t="s">
        <v>28</v>
      </c>
      <c r="B8" s="29"/>
      <c r="C8" s="29"/>
      <c r="D8" s="29"/>
      <c r="E8" s="30">
        <v>30000</v>
      </c>
      <c r="H8" s="29" t="s">
        <v>28</v>
      </c>
      <c r="I8" s="29"/>
      <c r="J8" s="29"/>
      <c r="K8" s="29"/>
      <c r="L8" s="30">
        <v>60000</v>
      </c>
      <c r="N8" s="17"/>
      <c r="O8" t="s">
        <v>28</v>
      </c>
      <c r="P8" s="16">
        <v>60000</v>
      </c>
      <c r="S8" s="29"/>
      <c r="T8" s="29"/>
      <c r="U8" s="29"/>
      <c r="V8" s="29"/>
      <c r="W8" s="30"/>
      <c r="X8" s="1"/>
      <c r="Z8" s="13"/>
      <c r="AA8" s="62"/>
      <c r="AB8" s="13"/>
    </row>
    <row r="9" spans="1:28">
      <c r="A9" s="29" t="s">
        <v>30</v>
      </c>
      <c r="B9" s="29"/>
      <c r="C9" s="29"/>
      <c r="D9" s="29"/>
      <c r="E9" s="29"/>
      <c r="F9" s="17"/>
      <c r="G9" s="37"/>
      <c r="H9" s="29" t="s">
        <v>30</v>
      </c>
      <c r="I9" s="29"/>
      <c r="J9" s="29"/>
      <c r="K9" s="29"/>
      <c r="L9" s="29"/>
      <c r="M9" s="17"/>
      <c r="N9" t="s">
        <v>30</v>
      </c>
      <c r="O9" s="16"/>
      <c r="S9" s="29"/>
      <c r="T9" s="29"/>
      <c r="U9" s="29"/>
      <c r="V9" s="29"/>
      <c r="W9" s="29"/>
      <c r="X9" s="1"/>
      <c r="Z9" s="13"/>
      <c r="AA9" s="62"/>
      <c r="AB9" s="13"/>
    </row>
    <row r="10" spans="1:28">
      <c r="A10" s="29" t="s">
        <v>31</v>
      </c>
      <c r="B10" s="29"/>
      <c r="C10" s="29"/>
      <c r="D10" s="29"/>
      <c r="E10" s="29"/>
      <c r="F10" s="17"/>
      <c r="G10" s="37"/>
      <c r="H10" s="29" t="s">
        <v>31</v>
      </c>
      <c r="I10" s="29"/>
      <c r="J10" s="29"/>
      <c r="K10" s="29"/>
      <c r="L10" s="29"/>
      <c r="M10" s="17"/>
      <c r="N10" t="s">
        <v>31</v>
      </c>
      <c r="O10" s="16"/>
      <c r="S10" s="29"/>
      <c r="T10" s="29"/>
      <c r="U10" s="29"/>
      <c r="V10" s="29"/>
      <c r="W10" s="29"/>
    </row>
    <row r="11" spans="1:28">
      <c r="A11" s="29" t="s">
        <v>32</v>
      </c>
      <c r="B11" s="29"/>
      <c r="C11" s="29"/>
      <c r="D11" s="29"/>
      <c r="E11" s="29"/>
      <c r="F11" s="17"/>
      <c r="G11" s="37"/>
      <c r="H11" s="29" t="s">
        <v>32</v>
      </c>
      <c r="I11" s="29"/>
      <c r="J11" s="29"/>
      <c r="K11" s="29"/>
      <c r="L11" s="29"/>
      <c r="M11" s="17"/>
      <c r="N11" t="s">
        <v>32</v>
      </c>
      <c r="O11" s="16"/>
      <c r="S11" s="29"/>
      <c r="T11" s="29"/>
      <c r="U11" s="29"/>
      <c r="V11" s="29"/>
      <c r="W11" s="29"/>
      <c r="Y11" s="1"/>
    </row>
    <row r="12" spans="1:28">
      <c r="A12" s="29" t="s">
        <v>34</v>
      </c>
      <c r="B12" s="29"/>
      <c r="C12" s="29"/>
      <c r="D12" s="29"/>
      <c r="E12" s="29"/>
      <c r="F12" s="17"/>
      <c r="G12" s="37"/>
      <c r="H12" s="29" t="s">
        <v>34</v>
      </c>
      <c r="I12" s="29"/>
      <c r="J12" s="29"/>
      <c r="K12" s="29"/>
      <c r="L12" s="29"/>
      <c r="M12" s="17"/>
      <c r="N12" t="s">
        <v>34</v>
      </c>
      <c r="O12" s="16"/>
      <c r="S12" s="29"/>
      <c r="T12" s="29"/>
      <c r="U12" s="29"/>
      <c r="V12" s="29"/>
      <c r="W12" s="29"/>
      <c r="Y12" s="1"/>
      <c r="Z12" t="s">
        <v>55</v>
      </c>
    </row>
    <row r="13" spans="1:28">
      <c r="A13" s="29" t="s">
        <v>35</v>
      </c>
      <c r="B13" s="29"/>
      <c r="C13" s="29"/>
      <c r="D13" s="29"/>
      <c r="E13" s="29"/>
      <c r="F13" s="17"/>
      <c r="G13" s="37"/>
      <c r="H13" s="29" t="s">
        <v>35</v>
      </c>
      <c r="I13" s="29"/>
      <c r="J13" s="29"/>
      <c r="K13" s="29"/>
      <c r="L13" s="29"/>
      <c r="M13" s="17"/>
      <c r="N13" t="s">
        <v>35</v>
      </c>
      <c r="O13" s="16"/>
      <c r="S13" s="29"/>
      <c r="T13" s="29"/>
      <c r="U13" s="29"/>
      <c r="V13" s="29"/>
      <c r="W13" s="29"/>
      <c r="Y13" s="1"/>
      <c r="Z13" s="1">
        <v>67086</v>
      </c>
    </row>
    <row r="14" spans="1:28" ht="14.4" thickBot="1">
      <c r="A14" s="54" t="s">
        <v>36</v>
      </c>
      <c r="B14" s="54"/>
      <c r="C14" s="54"/>
      <c r="D14" s="54"/>
      <c r="E14" s="22">
        <f>SUM(E6:E13)</f>
        <v>210000</v>
      </c>
      <c r="F14"/>
      <c r="G14" s="38"/>
      <c r="H14" s="54" t="s">
        <v>36</v>
      </c>
      <c r="I14" s="54"/>
      <c r="J14" s="54"/>
      <c r="K14" s="54"/>
      <c r="L14" s="22">
        <f>SUM(L6:L13)</f>
        <v>280000</v>
      </c>
      <c r="M14"/>
      <c r="N14" s="18" t="s">
        <v>36</v>
      </c>
      <c r="O14" s="22">
        <f>SUM(P6:P13)</f>
        <v>160000</v>
      </c>
      <c r="S14" s="54" t="s">
        <v>36</v>
      </c>
      <c r="T14" s="54"/>
      <c r="U14" s="54"/>
      <c r="V14" s="54"/>
      <c r="W14" s="22">
        <f>SUM(W6:W13)</f>
        <v>1000161</v>
      </c>
      <c r="Z14" s="1">
        <v>27</v>
      </c>
    </row>
    <row r="15" spans="1:28" ht="15" thickTop="1" thickBot="1">
      <c r="A15" s="51"/>
      <c r="B15" s="51"/>
      <c r="C15" s="51"/>
      <c r="D15" s="51"/>
      <c r="E15" s="1"/>
      <c r="F15"/>
      <c r="G15" s="38"/>
      <c r="H15" s="51"/>
      <c r="I15" s="51"/>
      <c r="J15" s="51"/>
      <c r="K15" s="51"/>
      <c r="L15" s="1"/>
      <c r="M15"/>
      <c r="S15" s="51"/>
      <c r="T15" s="51"/>
      <c r="U15" s="51"/>
      <c r="V15" s="51"/>
      <c r="W15" s="1"/>
      <c r="Z15" s="20">
        <f>Z13*Z14</f>
        <v>1811322</v>
      </c>
    </row>
    <row r="16" spans="1:28" ht="14.4" thickTop="1">
      <c r="A16" s="54" t="s">
        <v>45</v>
      </c>
      <c r="B16" s="54"/>
      <c r="C16" s="54"/>
      <c r="D16" s="54"/>
      <c r="E16" s="21">
        <f>E3-E14</f>
        <v>2190000</v>
      </c>
      <c r="F16"/>
      <c r="G16" s="38"/>
      <c r="H16" s="54" t="s">
        <v>45</v>
      </c>
      <c r="I16" s="54"/>
      <c r="J16" s="54"/>
      <c r="K16" s="54"/>
      <c r="L16" s="21">
        <f>L3-L14</f>
        <v>2120000</v>
      </c>
      <c r="M16"/>
      <c r="N16" t="s">
        <v>6</v>
      </c>
      <c r="O16" s="21" t="e">
        <f>#REF!-O14</f>
        <v>#REF!</v>
      </c>
      <c r="S16" s="54" t="s">
        <v>45</v>
      </c>
      <c r="T16" s="54"/>
      <c r="U16" s="54"/>
      <c r="V16" s="54"/>
      <c r="W16" s="21">
        <f>W3-W14</f>
        <v>1012419</v>
      </c>
    </row>
    <row r="17" spans="1:24">
      <c r="P17" s="1"/>
    </row>
    <row r="18" spans="1:24">
      <c r="A18" s="23" t="s">
        <v>44</v>
      </c>
      <c r="B18" s="23" t="s">
        <v>43</v>
      </c>
      <c r="C18" s="24" t="s">
        <v>42</v>
      </c>
      <c r="D18" s="23" t="s">
        <v>37</v>
      </c>
      <c r="E18" s="23" t="s">
        <v>41</v>
      </c>
      <c r="F18"/>
      <c r="G18" s="38"/>
      <c r="H18" s="23" t="s">
        <v>44</v>
      </c>
      <c r="I18" s="23" t="s">
        <v>43</v>
      </c>
      <c r="J18" s="24" t="s">
        <v>42</v>
      </c>
      <c r="K18" s="23" t="s">
        <v>37</v>
      </c>
      <c r="L18" s="23" t="s">
        <v>41</v>
      </c>
      <c r="M18"/>
      <c r="N18" t="s">
        <v>7</v>
      </c>
      <c r="O18" s="1">
        <v>0</v>
      </c>
      <c r="S18" s="23" t="s">
        <v>44</v>
      </c>
      <c r="T18" s="23" t="s">
        <v>43</v>
      </c>
      <c r="U18" s="24" t="s">
        <v>42</v>
      </c>
      <c r="V18" s="23" t="s">
        <v>37</v>
      </c>
      <c r="W18" s="23" t="s">
        <v>41</v>
      </c>
    </row>
    <row r="19" spans="1:24">
      <c r="A19" s="25">
        <v>0</v>
      </c>
      <c r="B19" s="26">
        <v>150000</v>
      </c>
      <c r="C19" s="19" t="s">
        <v>38</v>
      </c>
      <c r="D19" s="25">
        <f>IF((E16&gt;150000),150000,E16-B19)</f>
        <v>150000</v>
      </c>
      <c r="E19" s="25">
        <v>0</v>
      </c>
      <c r="F19"/>
      <c r="G19" s="38"/>
      <c r="H19" s="25">
        <v>0</v>
      </c>
      <c r="I19" s="26">
        <v>150000</v>
      </c>
      <c r="J19" s="19" t="s">
        <v>38</v>
      </c>
      <c r="K19" s="25">
        <f>IF((L16&gt;150000),150000,L16-I19)</f>
        <v>150000</v>
      </c>
      <c r="L19" s="25">
        <v>0</v>
      </c>
      <c r="M19"/>
      <c r="N19" t="s">
        <v>8</v>
      </c>
      <c r="O19" s="1">
        <f>35000</f>
        <v>35000</v>
      </c>
      <c r="S19" s="25">
        <v>0</v>
      </c>
      <c r="T19" s="26">
        <v>150000</v>
      </c>
      <c r="U19" s="27">
        <v>0.05</v>
      </c>
      <c r="V19" s="25">
        <f>IF((W16&gt;150000),150000,W16-T19)</f>
        <v>150000</v>
      </c>
      <c r="W19" s="25">
        <f t="shared" ref="W19:W25" si="0">IF((V19&lt;0),0,V19*U19)</f>
        <v>7500</v>
      </c>
    </row>
    <row r="20" spans="1:24">
      <c r="A20" s="25">
        <v>150001</v>
      </c>
      <c r="B20" s="26">
        <v>300000</v>
      </c>
      <c r="C20" s="27">
        <v>0.05</v>
      </c>
      <c r="D20" s="25">
        <f>IF((E16&gt;300000),150000,E16-B19)</f>
        <v>150000</v>
      </c>
      <c r="E20" s="25">
        <f t="shared" ref="E20:E25" si="1">IF((D20&lt;0),0,D20*C20)</f>
        <v>7500</v>
      </c>
      <c r="F20"/>
      <c r="G20" s="38"/>
      <c r="H20" s="25">
        <v>150001</v>
      </c>
      <c r="I20" s="26">
        <v>300000</v>
      </c>
      <c r="J20" s="27">
        <v>0.05</v>
      </c>
      <c r="K20" s="25">
        <f>IF((L16&gt;300000),150000,L16-I19)</f>
        <v>150000</v>
      </c>
      <c r="L20" s="25">
        <f t="shared" ref="L20:L25" si="2">IF((K20&lt;0),0,K20*J20)</f>
        <v>7500</v>
      </c>
      <c r="M20"/>
      <c r="N20" t="s">
        <v>9</v>
      </c>
      <c r="O20" s="1" t="e">
        <f>(O16-500000)*20%</f>
        <v>#REF!</v>
      </c>
      <c r="S20" s="25">
        <v>150001</v>
      </c>
      <c r="T20" s="26">
        <v>300000</v>
      </c>
      <c r="U20" s="27">
        <v>0.05</v>
      </c>
      <c r="V20" s="25">
        <f>IF((W16&gt;300000),150000,W16-T20)</f>
        <v>150000</v>
      </c>
      <c r="W20" s="25">
        <f t="shared" si="0"/>
        <v>7500</v>
      </c>
    </row>
    <row r="21" spans="1:24">
      <c r="A21" s="25">
        <v>300001</v>
      </c>
      <c r="B21" s="26">
        <v>500000</v>
      </c>
      <c r="C21" s="27">
        <v>0.1</v>
      </c>
      <c r="D21" s="25">
        <f>IF((E16&gt;500000),200000,E16-B20)</f>
        <v>200000</v>
      </c>
      <c r="E21" s="25">
        <f t="shared" si="1"/>
        <v>20000</v>
      </c>
      <c r="F21"/>
      <c r="G21" s="38"/>
      <c r="H21" s="25">
        <v>300001</v>
      </c>
      <c r="I21" s="26">
        <v>500000</v>
      </c>
      <c r="J21" s="27">
        <v>0.1</v>
      </c>
      <c r="K21" s="25">
        <f>IF((L16&gt;500000),200000,L16-I20)</f>
        <v>200000</v>
      </c>
      <c r="L21" s="25">
        <f t="shared" si="2"/>
        <v>20000</v>
      </c>
      <c r="M21"/>
      <c r="S21" s="25">
        <v>300001</v>
      </c>
      <c r="T21" s="26">
        <v>500000</v>
      </c>
      <c r="U21" s="27">
        <v>0.1</v>
      </c>
      <c r="V21" s="25">
        <f>IF((W16&gt;500000),200000,W16-T20)</f>
        <v>200000</v>
      </c>
      <c r="W21" s="25">
        <f t="shared" si="0"/>
        <v>20000</v>
      </c>
    </row>
    <row r="22" spans="1:24">
      <c r="A22" s="25">
        <v>500001</v>
      </c>
      <c r="B22" s="26">
        <v>750000</v>
      </c>
      <c r="C22" s="27">
        <v>0.15000000000000002</v>
      </c>
      <c r="D22" s="25">
        <f>IF((E16&gt;750000),250000,E16-B21)</f>
        <v>250000</v>
      </c>
      <c r="E22" s="25">
        <f t="shared" si="1"/>
        <v>37500.000000000007</v>
      </c>
      <c r="F22"/>
      <c r="G22" s="38"/>
      <c r="H22" s="25">
        <v>500001</v>
      </c>
      <c r="I22" s="26">
        <v>750000</v>
      </c>
      <c r="J22" s="27">
        <v>0.15000000000000002</v>
      </c>
      <c r="K22" s="25">
        <f>IF((L16&gt;750000),250000,L16-I21)</f>
        <v>250000</v>
      </c>
      <c r="L22" s="25">
        <f t="shared" si="2"/>
        <v>37500.000000000007</v>
      </c>
      <c r="M22"/>
      <c r="N22" t="s">
        <v>11</v>
      </c>
      <c r="O22" s="1" t="e">
        <f>SUM(O18:O20)</f>
        <v>#REF!</v>
      </c>
      <c r="S22" s="25">
        <v>500001</v>
      </c>
      <c r="T22" s="26">
        <v>750000</v>
      </c>
      <c r="U22" s="27">
        <v>0.15000000000000002</v>
      </c>
      <c r="V22" s="25">
        <f>IF((W16&gt;750000),250000,W16-T21)</f>
        <v>250000</v>
      </c>
      <c r="W22" s="25">
        <f t="shared" si="0"/>
        <v>37500.000000000007</v>
      </c>
    </row>
    <row r="23" spans="1:24">
      <c r="A23" s="25">
        <v>750001</v>
      </c>
      <c r="B23" s="26">
        <v>1000000</v>
      </c>
      <c r="C23" s="27">
        <v>0.2</v>
      </c>
      <c r="D23" s="25">
        <f>IF((E16&gt;1000000),250000,E16-B22)</f>
        <v>250000</v>
      </c>
      <c r="E23" s="25">
        <f t="shared" si="1"/>
        <v>50000</v>
      </c>
      <c r="F23"/>
      <c r="G23" s="38"/>
      <c r="H23" s="25">
        <v>750001</v>
      </c>
      <c r="I23" s="26">
        <v>1000000</v>
      </c>
      <c r="J23" s="27">
        <v>0.2</v>
      </c>
      <c r="K23" s="25">
        <f>IF((L16&gt;1000000),250000,L16-I22)</f>
        <v>250000</v>
      </c>
      <c r="L23" s="25">
        <f t="shared" si="2"/>
        <v>50000</v>
      </c>
      <c r="M23"/>
      <c r="S23" s="25">
        <v>750001</v>
      </c>
      <c r="T23" s="26">
        <v>1000000</v>
      </c>
      <c r="U23" s="27">
        <v>0.2</v>
      </c>
      <c r="V23" s="25">
        <f>IF((W16&gt;1000000),250000,W16-T22)</f>
        <v>250000</v>
      </c>
      <c r="W23" s="25">
        <f t="shared" si="0"/>
        <v>50000</v>
      </c>
    </row>
    <row r="24" spans="1:24">
      <c r="A24" s="25">
        <v>1000001</v>
      </c>
      <c r="B24" s="26">
        <v>2000000</v>
      </c>
      <c r="C24" s="27">
        <v>0.25</v>
      </c>
      <c r="D24" s="25">
        <f>IF((E16&gt;2000000),1000000,E16-B23)</f>
        <v>1000000</v>
      </c>
      <c r="E24" s="25">
        <f t="shared" si="1"/>
        <v>250000</v>
      </c>
      <c r="F24"/>
      <c r="G24" s="38"/>
      <c r="H24" s="25">
        <v>1000001</v>
      </c>
      <c r="I24" s="26">
        <v>2000000</v>
      </c>
      <c r="J24" s="27">
        <v>0.25</v>
      </c>
      <c r="K24" s="25">
        <f>IF((L16&gt;2000000),1000000,L16-I23)</f>
        <v>1000000</v>
      </c>
      <c r="L24" s="25">
        <f t="shared" si="2"/>
        <v>250000</v>
      </c>
      <c r="M24"/>
      <c r="S24" s="25">
        <v>1000001</v>
      </c>
      <c r="T24" s="26">
        <v>2000000</v>
      </c>
      <c r="U24" s="27">
        <v>0.25</v>
      </c>
      <c r="V24" s="25">
        <f>IF((W16&gt;2000000),1000000,W16-T23)</f>
        <v>12419</v>
      </c>
      <c r="W24" s="25">
        <f t="shared" si="0"/>
        <v>3104.75</v>
      </c>
    </row>
    <row r="25" spans="1:24">
      <c r="A25" s="25">
        <v>2000001</v>
      </c>
      <c r="B25" s="26">
        <v>4000000</v>
      </c>
      <c r="C25" s="27">
        <v>0.3</v>
      </c>
      <c r="D25" s="25">
        <f>IF((E16&gt;4000000),2000000,E16-B24)</f>
        <v>190000</v>
      </c>
      <c r="E25" s="25">
        <f t="shared" si="1"/>
        <v>57000</v>
      </c>
      <c r="F25"/>
      <c r="G25" s="38"/>
      <c r="H25" s="25">
        <v>2000001</v>
      </c>
      <c r="I25" s="26">
        <v>4000000</v>
      </c>
      <c r="J25" s="27">
        <v>0.3</v>
      </c>
      <c r="K25" s="25">
        <f>IF((L16&gt;4000000),2000000,L16-I24)</f>
        <v>120000</v>
      </c>
      <c r="L25" s="25">
        <f t="shared" si="2"/>
        <v>36000</v>
      </c>
      <c r="M25"/>
      <c r="S25" s="25">
        <v>2000001</v>
      </c>
      <c r="T25" s="26">
        <v>4000000</v>
      </c>
      <c r="U25" s="27">
        <v>0.3</v>
      </c>
      <c r="V25" s="25">
        <f>IF((W16&gt;5000000),3000000,W16-T24)</f>
        <v>-987581</v>
      </c>
      <c r="W25" s="25">
        <f t="shared" si="0"/>
        <v>0</v>
      </c>
    </row>
    <row r="26" spans="1:24">
      <c r="A26" s="25">
        <v>4000001</v>
      </c>
      <c r="B26" s="26"/>
      <c r="C26" s="27">
        <v>0.35</v>
      </c>
      <c r="D26" s="25" t="b">
        <f>IF((E16&gt;4000000),E16-B25)</f>
        <v>0</v>
      </c>
      <c r="E26" s="25">
        <f>D26*C26</f>
        <v>0</v>
      </c>
      <c r="F26"/>
      <c r="G26" s="38"/>
      <c r="H26" s="25">
        <v>4000001</v>
      </c>
      <c r="I26" s="26"/>
      <c r="J26" s="27">
        <v>0.35</v>
      </c>
      <c r="K26" s="25" t="b">
        <f>IF((L16&gt;4000000),L16-I25)</f>
        <v>0</v>
      </c>
      <c r="L26" s="25">
        <f>K26*J26</f>
        <v>0</v>
      </c>
      <c r="M26"/>
      <c r="S26" s="25">
        <v>5000001</v>
      </c>
      <c r="T26" s="26"/>
      <c r="U26" s="27">
        <v>0.35</v>
      </c>
      <c r="V26" s="25" t="b">
        <f>IF((W16&gt;5000000),W16-T25)</f>
        <v>0</v>
      </c>
      <c r="W26" s="25">
        <f>V26*U26</f>
        <v>0</v>
      </c>
    </row>
    <row r="27" spans="1:24">
      <c r="A27" s="52" t="s">
        <v>39</v>
      </c>
      <c r="B27" s="52"/>
      <c r="C27" s="52"/>
      <c r="D27" s="52"/>
      <c r="E27" s="21">
        <f>SUM(E19:E26)</f>
        <v>422000</v>
      </c>
      <c r="F27"/>
      <c r="G27" s="38"/>
      <c r="H27" s="52" t="s">
        <v>39</v>
      </c>
      <c r="I27" s="52"/>
      <c r="J27" s="52"/>
      <c r="K27" s="52"/>
      <c r="L27" s="21">
        <f>SUM(L19:L26)</f>
        <v>401000</v>
      </c>
      <c r="M27"/>
      <c r="N27" t="s">
        <v>10</v>
      </c>
      <c r="O27" s="1">
        <f>L22</f>
        <v>37500.000000000007</v>
      </c>
      <c r="S27" s="52" t="s">
        <v>39</v>
      </c>
      <c r="T27" s="52"/>
      <c r="U27" s="52"/>
      <c r="V27" s="52"/>
      <c r="W27" s="21">
        <f>SUM(W19:W26)</f>
        <v>125604.75</v>
      </c>
      <c r="X27" s="1"/>
    </row>
    <row r="28" spans="1:24" ht="14.4" thickBot="1">
      <c r="A28" s="53" t="s">
        <v>40</v>
      </c>
      <c r="B28" s="53"/>
      <c r="C28" s="53"/>
      <c r="D28" s="53"/>
      <c r="E28" s="28">
        <f>E27/12</f>
        <v>35166.666666666664</v>
      </c>
      <c r="F28"/>
      <c r="G28" s="38"/>
      <c r="H28" s="53" t="s">
        <v>40</v>
      </c>
      <c r="I28" s="53"/>
      <c r="J28" s="53"/>
      <c r="K28" s="53"/>
      <c r="L28" s="28">
        <f>L27/12</f>
        <v>33416.666666666664</v>
      </c>
      <c r="M28"/>
      <c r="N28" t="s">
        <v>19</v>
      </c>
      <c r="O28" s="13">
        <v>22489.01</v>
      </c>
      <c r="S28" s="53" t="s">
        <v>40</v>
      </c>
      <c r="T28" s="53"/>
      <c r="U28" s="53"/>
      <c r="V28" s="53"/>
      <c r="W28" s="28">
        <f>W27</f>
        <v>125604.75</v>
      </c>
    </row>
    <row r="29" spans="1:24" ht="14.4" thickTop="1">
      <c r="P29" s="13">
        <f>O27+O28</f>
        <v>59989.010000000009</v>
      </c>
    </row>
    <row r="30" spans="1:24">
      <c r="O30" t="s">
        <v>14</v>
      </c>
      <c r="P30" s="1" t="e">
        <f>O22-P29</f>
        <v>#REF!</v>
      </c>
    </row>
    <row r="31" spans="1:24" ht="18" thickBot="1">
      <c r="S31" s="56" t="s">
        <v>68</v>
      </c>
      <c r="T31" s="56"/>
      <c r="U31" s="56"/>
      <c r="V31" s="56"/>
      <c r="W31" s="45">
        <f>W28</f>
        <v>125604.75</v>
      </c>
      <c r="X31" s="64"/>
    </row>
    <row r="32" spans="1:24" ht="15" thickTop="1" thickBot="1">
      <c r="P32" s="1"/>
    </row>
    <row r="33" spans="15:23" ht="14.4" thickBot="1">
      <c r="O33" t="s">
        <v>16</v>
      </c>
      <c r="P33" s="12" t="e">
        <f>P30+L26</f>
        <v>#REF!</v>
      </c>
    </row>
    <row r="35" spans="15:23">
      <c r="W35" s="1"/>
    </row>
    <row r="72" spans="6:26" s="59" customFormat="1" ht="17.399999999999999">
      <c r="F72" s="60"/>
      <c r="G72" s="61"/>
      <c r="M72" s="60"/>
      <c r="S72" s="59" t="s">
        <v>62</v>
      </c>
    </row>
    <row r="74" spans="6:26">
      <c r="S74" s="29" t="s">
        <v>2</v>
      </c>
      <c r="T74" s="29"/>
      <c r="U74" s="29"/>
      <c r="V74" s="29"/>
      <c r="W74" s="57">
        <f>Z80</f>
        <v>2138184.75</v>
      </c>
      <c r="X74" s="51"/>
      <c r="Y74" s="1"/>
    </row>
    <row r="75" spans="6:26">
      <c r="W75" s="1"/>
      <c r="X75" s="51"/>
      <c r="Y75" s="1"/>
    </row>
    <row r="76" spans="6:26">
      <c r="S76" s="55" t="s">
        <v>1</v>
      </c>
      <c r="T76" s="55"/>
      <c r="U76" s="55"/>
      <c r="V76" s="55"/>
      <c r="W76" s="55"/>
      <c r="X76" s="1"/>
      <c r="Y76" s="1"/>
    </row>
    <row r="77" spans="6:26">
      <c r="S77" s="29" t="s">
        <v>51</v>
      </c>
      <c r="T77" s="29"/>
      <c r="U77" s="48"/>
      <c r="V77" s="29"/>
      <c r="W77" s="30">
        <f>7000*X77</f>
        <v>189000</v>
      </c>
      <c r="X77" s="32">
        <v>27</v>
      </c>
      <c r="Z77" s="1" t="s">
        <v>59</v>
      </c>
    </row>
    <row r="78" spans="6:26">
      <c r="S78" s="29" t="s">
        <v>52</v>
      </c>
      <c r="T78" s="29"/>
      <c r="U78" s="29"/>
      <c r="V78" s="29"/>
      <c r="W78" s="30">
        <f>(Z86-W77)*50%</f>
        <v>811161</v>
      </c>
      <c r="X78" s="1"/>
      <c r="Y78" s="58" t="s">
        <v>61</v>
      </c>
      <c r="Z78" s="1">
        <v>2012580</v>
      </c>
    </row>
    <row r="79" spans="6:26">
      <c r="S79" s="29"/>
      <c r="T79" s="29"/>
      <c r="U79" s="29"/>
      <c r="V79" s="29"/>
      <c r="W79" s="30"/>
      <c r="X79" s="1"/>
      <c r="Y79" s="58" t="s">
        <v>60</v>
      </c>
      <c r="Z79" s="1">
        <f>W31</f>
        <v>125604.75</v>
      </c>
    </row>
    <row r="80" spans="6:26" ht="14.4" thickBot="1">
      <c r="S80" s="29"/>
      <c r="T80" s="29"/>
      <c r="U80" s="29"/>
      <c r="V80" s="29"/>
      <c r="W80" s="29"/>
      <c r="X80" s="1"/>
      <c r="Z80" s="20">
        <f>Z78+Z79</f>
        <v>2138184.75</v>
      </c>
    </row>
    <row r="81" spans="19:26" ht="14.4" thickTop="1">
      <c r="S81" s="29"/>
      <c r="T81" s="29"/>
      <c r="U81" s="29"/>
      <c r="V81" s="29"/>
      <c r="W81" s="29"/>
    </row>
    <row r="82" spans="19:26">
      <c r="S82" s="29"/>
      <c r="T82" s="29"/>
      <c r="U82" s="29"/>
      <c r="V82" s="29"/>
      <c r="W82" s="29"/>
      <c r="Y82" s="1"/>
    </row>
    <row r="83" spans="19:26">
      <c r="S83" s="29"/>
      <c r="T83" s="29"/>
      <c r="U83" s="29"/>
      <c r="V83" s="29"/>
      <c r="W83" s="29"/>
      <c r="Y83" s="1"/>
      <c r="Z83" t="s">
        <v>55</v>
      </c>
    </row>
    <row r="84" spans="19:26">
      <c r="S84" s="29"/>
      <c r="T84" s="29"/>
      <c r="U84" s="29"/>
      <c r="V84" s="29"/>
      <c r="W84" s="29"/>
      <c r="Y84" s="1"/>
      <c r="Z84" s="1">
        <v>67086</v>
      </c>
    </row>
    <row r="85" spans="19:26" ht="14.4" thickBot="1">
      <c r="S85" s="54" t="s">
        <v>36</v>
      </c>
      <c r="T85" s="54"/>
      <c r="U85" s="54"/>
      <c r="V85" s="54"/>
      <c r="W85" s="22">
        <f>SUM(W77:W84)</f>
        <v>1000161</v>
      </c>
      <c r="Z85" s="1">
        <v>27</v>
      </c>
    </row>
    <row r="86" spans="19:26" ht="15" thickTop="1" thickBot="1">
      <c r="S86" s="51"/>
      <c r="T86" s="51"/>
      <c r="U86" s="51"/>
      <c r="V86" s="51"/>
      <c r="W86" s="1"/>
      <c r="Z86" s="20">
        <f>Z84*Z85</f>
        <v>1811322</v>
      </c>
    </row>
    <row r="87" spans="19:26" ht="14.4" thickTop="1">
      <c r="S87" s="54" t="s">
        <v>45</v>
      </c>
      <c r="T87" s="54"/>
      <c r="U87" s="54"/>
      <c r="V87" s="54"/>
      <c r="W87" s="21">
        <f>W74-W85</f>
        <v>1138023.75</v>
      </c>
    </row>
    <row r="89" spans="19:26">
      <c r="S89" s="23" t="s">
        <v>44</v>
      </c>
      <c r="T89" s="23" t="s">
        <v>43</v>
      </c>
      <c r="U89" s="24" t="s">
        <v>42</v>
      </c>
      <c r="V89" s="23" t="s">
        <v>37</v>
      </c>
      <c r="W89" s="23" t="s">
        <v>41</v>
      </c>
    </row>
    <row r="90" spans="19:26">
      <c r="S90" s="25">
        <v>0</v>
      </c>
      <c r="T90" s="26">
        <v>150000</v>
      </c>
      <c r="U90" s="27">
        <v>0.05</v>
      </c>
      <c r="V90" s="25">
        <f>IF((W87&gt;150000),150000,W87-T90)</f>
        <v>150000</v>
      </c>
      <c r="W90" s="25">
        <f t="shared" ref="W90:W96" si="3">IF((V90&lt;0),0,V90*U90)</f>
        <v>7500</v>
      </c>
    </row>
    <row r="91" spans="19:26">
      <c r="S91" s="25">
        <v>150001</v>
      </c>
      <c r="T91" s="26">
        <v>300000</v>
      </c>
      <c r="U91" s="27">
        <v>0.05</v>
      </c>
      <c r="V91" s="25">
        <f>IF((W87&gt;300000),150000,W87-T91)</f>
        <v>150000</v>
      </c>
      <c r="W91" s="25">
        <f t="shared" si="3"/>
        <v>7500</v>
      </c>
    </row>
    <row r="92" spans="19:26">
      <c r="S92" s="25">
        <v>300001</v>
      </c>
      <c r="T92" s="26">
        <v>500000</v>
      </c>
      <c r="U92" s="27">
        <v>0.1</v>
      </c>
      <c r="V92" s="25">
        <f>IF((W87&gt;500000),200000,W87-T91)</f>
        <v>200000</v>
      </c>
      <c r="W92" s="25">
        <f t="shared" si="3"/>
        <v>20000</v>
      </c>
    </row>
    <row r="93" spans="19:26">
      <c r="S93" s="25">
        <v>500001</v>
      </c>
      <c r="T93" s="26">
        <v>750000</v>
      </c>
      <c r="U93" s="27">
        <v>0.15000000000000002</v>
      </c>
      <c r="V93" s="25">
        <f>IF((W87&gt;750000),250000,W87-T92)</f>
        <v>250000</v>
      </c>
      <c r="W93" s="25">
        <f t="shared" si="3"/>
        <v>37500.000000000007</v>
      </c>
    </row>
    <row r="94" spans="19:26">
      <c r="S94" s="25">
        <v>750001</v>
      </c>
      <c r="T94" s="26">
        <v>1000000</v>
      </c>
      <c r="U94" s="27">
        <v>0.2</v>
      </c>
      <c r="V94" s="25">
        <f>IF((W87&gt;1000000),250000,W87-T93)</f>
        <v>250000</v>
      </c>
      <c r="W94" s="25">
        <f t="shared" si="3"/>
        <v>50000</v>
      </c>
    </row>
    <row r="95" spans="19:26">
      <c r="S95" s="25">
        <v>1000001</v>
      </c>
      <c r="T95" s="26">
        <v>2000000</v>
      </c>
      <c r="U95" s="27">
        <v>0.25</v>
      </c>
      <c r="V95" s="25">
        <f>IF((W87&gt;2000000),1000000,W87-T94)</f>
        <v>138023.75</v>
      </c>
      <c r="W95" s="25">
        <f t="shared" si="3"/>
        <v>34505.9375</v>
      </c>
    </row>
    <row r="96" spans="19:26">
      <c r="S96" s="25">
        <v>2000001</v>
      </c>
      <c r="T96" s="26">
        <v>4000000</v>
      </c>
      <c r="U96" s="27">
        <v>0.3</v>
      </c>
      <c r="V96" s="25">
        <f>IF((W87&gt;5000000),3000000,W87-T95)</f>
        <v>-861976.25</v>
      </c>
      <c r="W96" s="25">
        <f t="shared" si="3"/>
        <v>0</v>
      </c>
    </row>
    <row r="97" spans="19:24">
      <c r="S97" s="25">
        <v>5000001</v>
      </c>
      <c r="T97" s="26"/>
      <c r="U97" s="27">
        <v>0.35</v>
      </c>
      <c r="V97" s="25" t="b">
        <f>IF((W87&gt;5000000),W87-T96)</f>
        <v>0</v>
      </c>
      <c r="W97" s="25">
        <f>V97*U97</f>
        <v>0</v>
      </c>
    </row>
    <row r="98" spans="19:24">
      <c r="S98" s="52" t="s">
        <v>39</v>
      </c>
      <c r="T98" s="52"/>
      <c r="U98" s="52"/>
      <c r="V98" s="52"/>
      <c r="W98" s="21">
        <f>SUM(W90:W97)</f>
        <v>157005.9375</v>
      </c>
      <c r="X98" s="1"/>
    </row>
    <row r="99" spans="19:24" ht="14.4" thickBot="1">
      <c r="S99" s="53" t="s">
        <v>40</v>
      </c>
      <c r="T99" s="53"/>
      <c r="U99" s="53"/>
      <c r="V99" s="53"/>
      <c r="W99" s="28">
        <f>W98</f>
        <v>157005.9375</v>
      </c>
    </row>
    <row r="100" spans="19:24" ht="14.4" thickTop="1"/>
    <row r="102" spans="19:24" ht="14.4" thickBot="1">
      <c r="S102" s="56" t="s">
        <v>69</v>
      </c>
      <c r="T102" s="56"/>
      <c r="U102" s="56"/>
      <c r="V102" s="56"/>
      <c r="W102" s="45">
        <f>W99</f>
        <v>157005.9375</v>
      </c>
    </row>
    <row r="103" spans="19:24" ht="14.4" thickTop="1"/>
  </sheetData>
  <mergeCells count="22">
    <mergeCell ref="S87:V87"/>
    <mergeCell ref="S98:V98"/>
    <mergeCell ref="S99:V99"/>
    <mergeCell ref="S102:V102"/>
    <mergeCell ref="A28:D28"/>
    <mergeCell ref="H28:K28"/>
    <mergeCell ref="S28:V28"/>
    <mergeCell ref="S31:V31"/>
    <mergeCell ref="S76:W76"/>
    <mergeCell ref="S85:V85"/>
    <mergeCell ref="A16:D16"/>
    <mergeCell ref="H16:K16"/>
    <mergeCell ref="S16:V16"/>
    <mergeCell ref="A27:D27"/>
    <mergeCell ref="H27:K27"/>
    <mergeCell ref="S27:V27"/>
    <mergeCell ref="A5:E5"/>
    <mergeCell ref="H5:L5"/>
    <mergeCell ref="S5:W5"/>
    <mergeCell ref="A14:D14"/>
    <mergeCell ref="H14:K14"/>
    <mergeCell ref="S14:V14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B103"/>
  <sheetViews>
    <sheetView topLeftCell="S19" zoomScale="70" zoomScaleNormal="70" workbookViewId="0">
      <selection activeCell="Y21" sqref="Y21"/>
    </sheetView>
  </sheetViews>
  <sheetFormatPr defaultRowHeight="13.8"/>
  <cols>
    <col min="1" max="1" width="15.3984375" hidden="1" customWidth="1"/>
    <col min="2" max="2" width="14.19921875" hidden="1" customWidth="1"/>
    <col min="3" max="3" width="8.796875" hidden="1" customWidth="1"/>
    <col min="4" max="4" width="13.8984375" hidden="1" customWidth="1"/>
    <col min="5" max="5" width="22.69921875" hidden="1" customWidth="1"/>
    <col min="6" max="6" width="15.59765625" style="1" hidden="1" customWidth="1"/>
    <col min="7" max="7" width="5.8984375" style="34" hidden="1" customWidth="1"/>
    <col min="8" max="8" width="15.3984375" hidden="1" customWidth="1"/>
    <col min="9" max="9" width="14.19921875" hidden="1" customWidth="1"/>
    <col min="10" max="10" width="8.796875" hidden="1" customWidth="1"/>
    <col min="11" max="11" width="13.8984375" hidden="1" customWidth="1"/>
    <col min="12" max="12" width="22.69921875" hidden="1" customWidth="1"/>
    <col min="13" max="13" width="15.59765625" style="1" hidden="1" customWidth="1"/>
    <col min="14" max="14" width="12.19921875" hidden="1" customWidth="1"/>
    <col min="15" max="15" width="39.19921875" hidden="1" customWidth="1"/>
    <col min="16" max="16" width="12.59765625" hidden="1" customWidth="1"/>
    <col min="17" max="18" width="8.796875" hidden="1" customWidth="1"/>
    <col min="19" max="19" width="16.796875" customWidth="1"/>
    <col min="20" max="20" width="13.19921875" customWidth="1"/>
    <col min="21" max="21" width="22.796875" customWidth="1"/>
    <col min="22" max="22" width="15.69921875" customWidth="1"/>
    <col min="23" max="23" width="16.8984375" customWidth="1"/>
    <col min="24" max="24" width="30.69921875" bestFit="1" customWidth="1"/>
    <col min="25" max="25" width="19" bestFit="1" customWidth="1"/>
    <col min="26" max="26" width="21" customWidth="1"/>
    <col min="27" max="27" width="10.8984375" customWidth="1"/>
    <col min="28" max="28" width="11.69921875" customWidth="1"/>
  </cols>
  <sheetData>
    <row r="1" spans="1:28" s="39" customFormat="1" ht="17.399999999999999">
      <c r="C1" s="39" t="s">
        <v>47</v>
      </c>
      <c r="E1" s="40"/>
      <c r="F1" s="41"/>
      <c r="G1" s="42"/>
      <c r="K1" s="39" t="s">
        <v>48</v>
      </c>
      <c r="L1" s="40"/>
      <c r="M1" s="41"/>
      <c r="S1" s="44" t="s">
        <v>73</v>
      </c>
      <c r="T1" s="39" t="s">
        <v>72</v>
      </c>
      <c r="X1" s="49"/>
      <c r="Y1" s="1"/>
      <c r="Z1"/>
    </row>
    <row r="2" spans="1:28" s="59" customFormat="1" ht="17.399999999999999">
      <c r="F2" s="60"/>
      <c r="G2" s="61"/>
      <c r="M2" s="60"/>
      <c r="S2" s="59" t="s">
        <v>57</v>
      </c>
    </row>
    <row r="3" spans="1:28">
      <c r="A3" s="29" t="s">
        <v>46</v>
      </c>
      <c r="B3" s="29"/>
      <c r="C3" s="29"/>
      <c r="D3" s="29"/>
      <c r="E3" s="43">
        <v>2400000</v>
      </c>
      <c r="H3" s="29" t="s">
        <v>46</v>
      </c>
      <c r="I3" s="29"/>
      <c r="J3" s="29"/>
      <c r="K3" s="29"/>
      <c r="L3" s="33">
        <f>E3</f>
        <v>2400000</v>
      </c>
      <c r="N3" s="1"/>
      <c r="O3" t="s">
        <v>2</v>
      </c>
      <c r="P3" s="9">
        <v>10000</v>
      </c>
      <c r="S3" s="29" t="s">
        <v>64</v>
      </c>
      <c r="T3" s="29"/>
      <c r="U3" s="29"/>
      <c r="V3" s="29"/>
      <c r="W3" s="57">
        <v>2472000</v>
      </c>
      <c r="X3" s="51"/>
      <c r="Y3" s="1"/>
    </row>
    <row r="4" spans="1:28">
      <c r="A4" t="s">
        <v>50</v>
      </c>
      <c r="W4" s="1"/>
      <c r="X4" s="51"/>
      <c r="Y4" s="1"/>
    </row>
    <row r="5" spans="1:28">
      <c r="A5" s="55" t="s">
        <v>1</v>
      </c>
      <c r="B5" s="55"/>
      <c r="C5" s="55"/>
      <c r="D5" s="55"/>
      <c r="E5" s="55"/>
      <c r="F5" s="6"/>
      <c r="G5" s="35"/>
      <c r="H5" s="55" t="s">
        <v>1</v>
      </c>
      <c r="I5" s="55"/>
      <c r="J5" s="55"/>
      <c r="K5" s="55"/>
      <c r="L5" s="55"/>
      <c r="M5" s="6"/>
      <c r="N5" s="50"/>
      <c r="O5" s="50"/>
      <c r="P5" s="3"/>
      <c r="S5" s="55" t="s">
        <v>1</v>
      </c>
      <c r="T5" s="55"/>
      <c r="U5" s="55"/>
      <c r="V5" s="55"/>
      <c r="W5" s="55"/>
      <c r="X5" s="1"/>
      <c r="Y5" s="1"/>
    </row>
    <row r="6" spans="1:28" ht="21.6" customHeight="1">
      <c r="A6" s="29" t="s">
        <v>33</v>
      </c>
      <c r="B6" s="29"/>
      <c r="C6" s="29"/>
      <c r="D6" s="29"/>
      <c r="E6" s="31">
        <f>E3*F6</f>
        <v>120000</v>
      </c>
      <c r="F6" s="32">
        <v>0.05</v>
      </c>
      <c r="G6" s="36"/>
      <c r="H6" s="29" t="s">
        <v>33</v>
      </c>
      <c r="I6" s="29"/>
      <c r="J6" s="29"/>
      <c r="K6" s="29"/>
      <c r="L6" s="31">
        <f>L3*M6</f>
        <v>120000</v>
      </c>
      <c r="M6" s="32">
        <f>F6</f>
        <v>0.05</v>
      </c>
      <c r="N6" s="17"/>
      <c r="O6" t="s">
        <v>33</v>
      </c>
      <c r="P6" s="8"/>
      <c r="S6" s="29" t="s">
        <v>51</v>
      </c>
      <c r="T6" s="29"/>
      <c r="U6" s="48"/>
      <c r="V6" s="29"/>
      <c r="W6" s="30">
        <f>7000*X6</f>
        <v>245000</v>
      </c>
      <c r="X6" s="32">
        <v>35</v>
      </c>
      <c r="Z6" s="1"/>
    </row>
    <row r="7" spans="1:28">
      <c r="A7" s="29" t="s">
        <v>29</v>
      </c>
      <c r="B7" s="29"/>
      <c r="C7" s="29"/>
      <c r="D7" s="29"/>
      <c r="E7" s="30">
        <f>IF((E3*40%)&gt;60000,60000,E3*40%)</f>
        <v>60000</v>
      </c>
      <c r="H7" s="29" t="s">
        <v>29</v>
      </c>
      <c r="I7" s="29"/>
      <c r="J7" s="29"/>
      <c r="K7" s="29"/>
      <c r="L7" s="30">
        <f>IF((L3*50%)&gt;100000,100000,L3*50%)</f>
        <v>100000</v>
      </c>
      <c r="N7" s="17"/>
      <c r="O7" t="s">
        <v>29</v>
      </c>
      <c r="P7" s="16">
        <v>100000</v>
      </c>
      <c r="S7" s="29" t="s">
        <v>52</v>
      </c>
      <c r="T7" s="29"/>
      <c r="U7" s="29"/>
      <c r="V7" s="29"/>
      <c r="W7" s="30">
        <f>(W3-W6)*50%</f>
        <v>1113500</v>
      </c>
      <c r="X7" s="1"/>
      <c r="Z7" s="1"/>
      <c r="AB7" s="1"/>
    </row>
    <row r="8" spans="1:28">
      <c r="A8" s="29" t="s">
        <v>28</v>
      </c>
      <c r="B8" s="29"/>
      <c r="C8" s="29"/>
      <c r="D8" s="29"/>
      <c r="E8" s="30">
        <v>30000</v>
      </c>
      <c r="H8" s="29" t="s">
        <v>28</v>
      </c>
      <c r="I8" s="29"/>
      <c r="J8" s="29"/>
      <c r="K8" s="29"/>
      <c r="L8" s="30">
        <v>60000</v>
      </c>
      <c r="N8" s="17"/>
      <c r="O8" t="s">
        <v>28</v>
      </c>
      <c r="P8" s="16">
        <v>60000</v>
      </c>
      <c r="S8" s="29"/>
      <c r="T8" s="29"/>
      <c r="U8" s="29"/>
      <c r="V8" s="29"/>
      <c r="W8" s="30"/>
      <c r="X8" s="1"/>
      <c r="Z8" s="13"/>
      <c r="AA8" s="62"/>
      <c r="AB8" s="13"/>
    </row>
    <row r="9" spans="1:28">
      <c r="A9" s="29" t="s">
        <v>30</v>
      </c>
      <c r="B9" s="29"/>
      <c r="C9" s="29"/>
      <c r="D9" s="29"/>
      <c r="E9" s="29"/>
      <c r="F9" s="17"/>
      <c r="G9" s="37"/>
      <c r="H9" s="29" t="s">
        <v>30</v>
      </c>
      <c r="I9" s="29"/>
      <c r="J9" s="29"/>
      <c r="K9" s="29"/>
      <c r="L9" s="29"/>
      <c r="M9" s="17"/>
      <c r="N9" t="s">
        <v>30</v>
      </c>
      <c r="O9" s="16"/>
      <c r="S9" s="29"/>
      <c r="T9" s="29"/>
      <c r="U9" s="29"/>
      <c r="V9" s="29"/>
      <c r="W9" s="29"/>
      <c r="X9" s="1"/>
      <c r="Z9" s="13"/>
      <c r="AA9" s="62"/>
      <c r="AB9" s="13"/>
    </row>
    <row r="10" spans="1:28">
      <c r="A10" s="29" t="s">
        <v>31</v>
      </c>
      <c r="B10" s="29"/>
      <c r="C10" s="29"/>
      <c r="D10" s="29"/>
      <c r="E10" s="29"/>
      <c r="F10" s="17"/>
      <c r="G10" s="37"/>
      <c r="H10" s="29" t="s">
        <v>31</v>
      </c>
      <c r="I10" s="29"/>
      <c r="J10" s="29"/>
      <c r="K10" s="29"/>
      <c r="L10" s="29"/>
      <c r="M10" s="17"/>
      <c r="N10" t="s">
        <v>31</v>
      </c>
      <c r="O10" s="16"/>
      <c r="S10" s="29"/>
      <c r="T10" s="29"/>
      <c r="U10" s="29"/>
      <c r="V10" s="29"/>
      <c r="W10" s="29"/>
    </row>
    <row r="11" spans="1:28">
      <c r="A11" s="29" t="s">
        <v>32</v>
      </c>
      <c r="B11" s="29"/>
      <c r="C11" s="29"/>
      <c r="D11" s="29"/>
      <c r="E11" s="29"/>
      <c r="F11" s="17"/>
      <c r="G11" s="37"/>
      <c r="H11" s="29" t="s">
        <v>32</v>
      </c>
      <c r="I11" s="29"/>
      <c r="J11" s="29"/>
      <c r="K11" s="29"/>
      <c r="L11" s="29"/>
      <c r="M11" s="17"/>
      <c r="N11" t="s">
        <v>32</v>
      </c>
      <c r="O11" s="16"/>
      <c r="S11" s="29"/>
      <c r="T11" s="29"/>
      <c r="U11" s="29"/>
      <c r="V11" s="29"/>
      <c r="W11" s="29"/>
      <c r="Y11" s="1"/>
    </row>
    <row r="12" spans="1:28">
      <c r="A12" s="29" t="s">
        <v>34</v>
      </c>
      <c r="B12" s="29"/>
      <c r="C12" s="29"/>
      <c r="D12" s="29"/>
      <c r="E12" s="29"/>
      <c r="F12" s="17"/>
      <c r="G12" s="37"/>
      <c r="H12" s="29" t="s">
        <v>34</v>
      </c>
      <c r="I12" s="29"/>
      <c r="J12" s="29"/>
      <c r="K12" s="29"/>
      <c r="L12" s="29"/>
      <c r="M12" s="17"/>
      <c r="N12" t="s">
        <v>34</v>
      </c>
      <c r="O12" s="16"/>
      <c r="S12" s="29"/>
      <c r="T12" s="29"/>
      <c r="U12" s="29"/>
      <c r="V12" s="29"/>
      <c r="W12" s="29"/>
      <c r="Y12" s="1"/>
      <c r="Z12" t="s">
        <v>55</v>
      </c>
    </row>
    <row r="13" spans="1:28">
      <c r="A13" s="29" t="s">
        <v>35</v>
      </c>
      <c r="B13" s="29"/>
      <c r="C13" s="29"/>
      <c r="D13" s="29"/>
      <c r="E13" s="29"/>
      <c r="F13" s="17"/>
      <c r="G13" s="37"/>
      <c r="H13" s="29" t="s">
        <v>35</v>
      </c>
      <c r="I13" s="29"/>
      <c r="J13" s="29"/>
      <c r="K13" s="29"/>
      <c r="L13" s="29"/>
      <c r="M13" s="17"/>
      <c r="N13" t="s">
        <v>35</v>
      </c>
      <c r="O13" s="16"/>
      <c r="S13" s="29"/>
      <c r="T13" s="29"/>
      <c r="U13" s="29"/>
      <c r="V13" s="29"/>
      <c r="W13" s="29"/>
      <c r="Y13" s="1"/>
      <c r="Z13" s="1">
        <v>82400</v>
      </c>
    </row>
    <row r="14" spans="1:28" ht="14.4" thickBot="1">
      <c r="A14" s="54" t="s">
        <v>36</v>
      </c>
      <c r="B14" s="54"/>
      <c r="C14" s="54"/>
      <c r="D14" s="54"/>
      <c r="E14" s="22">
        <f>SUM(E6:E13)</f>
        <v>210000</v>
      </c>
      <c r="F14"/>
      <c r="G14" s="38"/>
      <c r="H14" s="54" t="s">
        <v>36</v>
      </c>
      <c r="I14" s="54"/>
      <c r="J14" s="54"/>
      <c r="K14" s="54"/>
      <c r="L14" s="22">
        <f>SUM(L6:L13)</f>
        <v>280000</v>
      </c>
      <c r="M14"/>
      <c r="N14" s="18" t="s">
        <v>36</v>
      </c>
      <c r="O14" s="22">
        <f>SUM(P6:P13)</f>
        <v>160000</v>
      </c>
      <c r="S14" s="54" t="s">
        <v>36</v>
      </c>
      <c r="T14" s="54"/>
      <c r="U14" s="54"/>
      <c r="V14" s="54"/>
      <c r="W14" s="22">
        <f>SUM(W6:W13)</f>
        <v>1358500</v>
      </c>
      <c r="Z14" s="1">
        <v>35</v>
      </c>
    </row>
    <row r="15" spans="1:28" ht="15" thickTop="1" thickBot="1">
      <c r="A15" s="51"/>
      <c r="B15" s="51"/>
      <c r="C15" s="51"/>
      <c r="D15" s="51"/>
      <c r="E15" s="1"/>
      <c r="F15"/>
      <c r="G15" s="38"/>
      <c r="H15" s="51"/>
      <c r="I15" s="51"/>
      <c r="J15" s="51"/>
      <c r="K15" s="51"/>
      <c r="L15" s="1"/>
      <c r="M15"/>
      <c r="S15" s="51"/>
      <c r="T15" s="51"/>
      <c r="U15" s="51"/>
      <c r="V15" s="51"/>
      <c r="W15" s="1"/>
      <c r="Z15" s="20">
        <f>Z13*Z14</f>
        <v>2884000</v>
      </c>
    </row>
    <row r="16" spans="1:28" ht="14.4" thickTop="1">
      <c r="A16" s="54" t="s">
        <v>45</v>
      </c>
      <c r="B16" s="54"/>
      <c r="C16" s="54"/>
      <c r="D16" s="54"/>
      <c r="E16" s="21">
        <f>E3-E14</f>
        <v>2190000</v>
      </c>
      <c r="F16"/>
      <c r="G16" s="38"/>
      <c r="H16" s="54" t="s">
        <v>45</v>
      </c>
      <c r="I16" s="54"/>
      <c r="J16" s="54"/>
      <c r="K16" s="54"/>
      <c r="L16" s="21">
        <f>L3-L14</f>
        <v>2120000</v>
      </c>
      <c r="M16"/>
      <c r="N16" t="s">
        <v>6</v>
      </c>
      <c r="O16" s="21" t="e">
        <f>#REF!-O14</f>
        <v>#REF!</v>
      </c>
      <c r="S16" s="54" t="s">
        <v>45</v>
      </c>
      <c r="T16" s="54"/>
      <c r="U16" s="54"/>
      <c r="V16" s="54"/>
      <c r="W16" s="21">
        <f>W3-W14</f>
        <v>1113500</v>
      </c>
    </row>
    <row r="17" spans="1:24">
      <c r="P17" s="1"/>
    </row>
    <row r="18" spans="1:24">
      <c r="A18" s="23" t="s">
        <v>44</v>
      </c>
      <c r="B18" s="23" t="s">
        <v>43</v>
      </c>
      <c r="C18" s="24" t="s">
        <v>42</v>
      </c>
      <c r="D18" s="23" t="s">
        <v>37</v>
      </c>
      <c r="E18" s="23" t="s">
        <v>41</v>
      </c>
      <c r="F18"/>
      <c r="G18" s="38"/>
      <c r="H18" s="23" t="s">
        <v>44</v>
      </c>
      <c r="I18" s="23" t="s">
        <v>43</v>
      </c>
      <c r="J18" s="24" t="s">
        <v>42</v>
      </c>
      <c r="K18" s="23" t="s">
        <v>37</v>
      </c>
      <c r="L18" s="23" t="s">
        <v>41</v>
      </c>
      <c r="M18"/>
      <c r="N18" t="s">
        <v>7</v>
      </c>
      <c r="O18" s="1">
        <v>0</v>
      </c>
      <c r="S18" s="23" t="s">
        <v>44</v>
      </c>
      <c r="T18" s="23" t="s">
        <v>43</v>
      </c>
      <c r="U18" s="24" t="s">
        <v>42</v>
      </c>
      <c r="V18" s="23" t="s">
        <v>37</v>
      </c>
      <c r="W18" s="23" t="s">
        <v>41</v>
      </c>
    </row>
    <row r="19" spans="1:24">
      <c r="A19" s="25">
        <v>0</v>
      </c>
      <c r="B19" s="26">
        <v>150000</v>
      </c>
      <c r="C19" s="19" t="s">
        <v>38</v>
      </c>
      <c r="D19" s="25">
        <f>IF((E16&gt;150000),150000,E16-B19)</f>
        <v>150000</v>
      </c>
      <c r="E19" s="25">
        <v>0</v>
      </c>
      <c r="F19"/>
      <c r="G19" s="38"/>
      <c r="H19" s="25">
        <v>0</v>
      </c>
      <c r="I19" s="26">
        <v>150000</v>
      </c>
      <c r="J19" s="19" t="s">
        <v>38</v>
      </c>
      <c r="K19" s="25">
        <f>IF((L16&gt;150000),150000,L16-I19)</f>
        <v>150000</v>
      </c>
      <c r="L19" s="25">
        <v>0</v>
      </c>
      <c r="M19"/>
      <c r="N19" t="s">
        <v>8</v>
      </c>
      <c r="O19" s="1">
        <f>35000</f>
        <v>35000</v>
      </c>
      <c r="S19" s="25">
        <v>0</v>
      </c>
      <c r="T19" s="26">
        <v>150000</v>
      </c>
      <c r="U19" s="27">
        <v>0.05</v>
      </c>
      <c r="V19" s="25">
        <f>IF((W16&gt;150000),150000,W16-T19)</f>
        <v>150000</v>
      </c>
      <c r="W19" s="25">
        <f t="shared" ref="W19:W25" si="0">IF((V19&lt;0),0,V19*U19)</f>
        <v>7500</v>
      </c>
    </row>
    <row r="20" spans="1:24">
      <c r="A20" s="25">
        <v>150001</v>
      </c>
      <c r="B20" s="26">
        <v>300000</v>
      </c>
      <c r="C20" s="27">
        <v>0.05</v>
      </c>
      <c r="D20" s="25">
        <f>IF((E16&gt;300000),150000,E16-B19)</f>
        <v>150000</v>
      </c>
      <c r="E20" s="25">
        <f t="shared" ref="E20:E25" si="1">IF((D20&lt;0),0,D20*C20)</f>
        <v>7500</v>
      </c>
      <c r="F20"/>
      <c r="G20" s="38"/>
      <c r="H20" s="25">
        <v>150001</v>
      </c>
      <c r="I20" s="26">
        <v>300000</v>
      </c>
      <c r="J20" s="27">
        <v>0.05</v>
      </c>
      <c r="K20" s="25">
        <f>IF((L16&gt;300000),150000,L16-I19)</f>
        <v>150000</v>
      </c>
      <c r="L20" s="25">
        <f t="shared" ref="L20:L25" si="2">IF((K20&lt;0),0,K20*J20)</f>
        <v>7500</v>
      </c>
      <c r="M20"/>
      <c r="N20" t="s">
        <v>9</v>
      </c>
      <c r="O20" s="1" t="e">
        <f>(O16-500000)*20%</f>
        <v>#REF!</v>
      </c>
      <c r="S20" s="25">
        <v>150001</v>
      </c>
      <c r="T20" s="26">
        <v>300000</v>
      </c>
      <c r="U20" s="27">
        <v>0.05</v>
      </c>
      <c r="V20" s="25">
        <f>IF((W16&gt;300000),150000,W16-T20)</f>
        <v>150000</v>
      </c>
      <c r="W20" s="25">
        <f t="shared" si="0"/>
        <v>7500</v>
      </c>
    </row>
    <row r="21" spans="1:24">
      <c r="A21" s="25">
        <v>300001</v>
      </c>
      <c r="B21" s="26">
        <v>500000</v>
      </c>
      <c r="C21" s="27">
        <v>0.1</v>
      </c>
      <c r="D21" s="25">
        <f>IF((E16&gt;500000),200000,E16-B20)</f>
        <v>200000</v>
      </c>
      <c r="E21" s="25">
        <f t="shared" si="1"/>
        <v>20000</v>
      </c>
      <c r="F21"/>
      <c r="G21" s="38"/>
      <c r="H21" s="25">
        <v>300001</v>
      </c>
      <c r="I21" s="26">
        <v>500000</v>
      </c>
      <c r="J21" s="27">
        <v>0.1</v>
      </c>
      <c r="K21" s="25">
        <f>IF((L16&gt;500000),200000,L16-I20)</f>
        <v>200000</v>
      </c>
      <c r="L21" s="25">
        <f t="shared" si="2"/>
        <v>20000</v>
      </c>
      <c r="M21"/>
      <c r="S21" s="25">
        <v>300001</v>
      </c>
      <c r="T21" s="26">
        <v>500000</v>
      </c>
      <c r="U21" s="27">
        <v>0.1</v>
      </c>
      <c r="V21" s="25">
        <f>IF((W16&gt;500000),200000,W16-T20)</f>
        <v>200000</v>
      </c>
      <c r="W21" s="25">
        <f t="shared" si="0"/>
        <v>20000</v>
      </c>
    </row>
    <row r="22" spans="1:24">
      <c r="A22" s="25">
        <v>500001</v>
      </c>
      <c r="B22" s="26">
        <v>750000</v>
      </c>
      <c r="C22" s="27">
        <v>0.15000000000000002</v>
      </c>
      <c r="D22" s="25">
        <f>IF((E16&gt;750000),250000,E16-B21)</f>
        <v>250000</v>
      </c>
      <c r="E22" s="25">
        <f t="shared" si="1"/>
        <v>37500.000000000007</v>
      </c>
      <c r="F22"/>
      <c r="G22" s="38"/>
      <c r="H22" s="25">
        <v>500001</v>
      </c>
      <c r="I22" s="26">
        <v>750000</v>
      </c>
      <c r="J22" s="27">
        <v>0.15000000000000002</v>
      </c>
      <c r="K22" s="25">
        <f>IF((L16&gt;750000),250000,L16-I21)</f>
        <v>250000</v>
      </c>
      <c r="L22" s="25">
        <f t="shared" si="2"/>
        <v>37500.000000000007</v>
      </c>
      <c r="M22"/>
      <c r="N22" t="s">
        <v>11</v>
      </c>
      <c r="O22" s="1" t="e">
        <f>SUM(O18:O20)</f>
        <v>#REF!</v>
      </c>
      <c r="S22" s="25">
        <v>500001</v>
      </c>
      <c r="T22" s="26">
        <v>750000</v>
      </c>
      <c r="U22" s="27">
        <v>0.15000000000000002</v>
      </c>
      <c r="V22" s="25">
        <f>IF((W16&gt;750000),250000,W16-T21)</f>
        <v>250000</v>
      </c>
      <c r="W22" s="25">
        <f t="shared" si="0"/>
        <v>37500.000000000007</v>
      </c>
    </row>
    <row r="23" spans="1:24">
      <c r="A23" s="25">
        <v>750001</v>
      </c>
      <c r="B23" s="26">
        <v>1000000</v>
      </c>
      <c r="C23" s="27">
        <v>0.2</v>
      </c>
      <c r="D23" s="25">
        <f>IF((E16&gt;1000000),250000,E16-B22)</f>
        <v>250000</v>
      </c>
      <c r="E23" s="25">
        <f t="shared" si="1"/>
        <v>50000</v>
      </c>
      <c r="F23"/>
      <c r="G23" s="38"/>
      <c r="H23" s="25">
        <v>750001</v>
      </c>
      <c r="I23" s="26">
        <v>1000000</v>
      </c>
      <c r="J23" s="27">
        <v>0.2</v>
      </c>
      <c r="K23" s="25">
        <f>IF((L16&gt;1000000),250000,L16-I22)</f>
        <v>250000</v>
      </c>
      <c r="L23" s="25">
        <f t="shared" si="2"/>
        <v>50000</v>
      </c>
      <c r="M23"/>
      <c r="S23" s="25">
        <v>750001</v>
      </c>
      <c r="T23" s="26">
        <v>1000000</v>
      </c>
      <c r="U23" s="27">
        <v>0.2</v>
      </c>
      <c r="V23" s="25">
        <f>IF((W16&gt;1000000),250000,W16-T22)</f>
        <v>250000</v>
      </c>
      <c r="W23" s="25">
        <f t="shared" si="0"/>
        <v>50000</v>
      </c>
    </row>
    <row r="24" spans="1:24">
      <c r="A24" s="25">
        <v>1000001</v>
      </c>
      <c r="B24" s="26">
        <v>2000000</v>
      </c>
      <c r="C24" s="27">
        <v>0.25</v>
      </c>
      <c r="D24" s="25">
        <f>IF((E16&gt;2000000),1000000,E16-B23)</f>
        <v>1000000</v>
      </c>
      <c r="E24" s="25">
        <f t="shared" si="1"/>
        <v>250000</v>
      </c>
      <c r="F24"/>
      <c r="G24" s="38"/>
      <c r="H24" s="25">
        <v>1000001</v>
      </c>
      <c r="I24" s="26">
        <v>2000000</v>
      </c>
      <c r="J24" s="27">
        <v>0.25</v>
      </c>
      <c r="K24" s="25">
        <f>IF((L16&gt;2000000),1000000,L16-I23)</f>
        <v>1000000</v>
      </c>
      <c r="L24" s="25">
        <f t="shared" si="2"/>
        <v>250000</v>
      </c>
      <c r="M24"/>
      <c r="S24" s="25">
        <v>1000001</v>
      </c>
      <c r="T24" s="26">
        <v>2000000</v>
      </c>
      <c r="U24" s="27">
        <v>0.25</v>
      </c>
      <c r="V24" s="25">
        <f>IF((W16&gt;2000000),1000000,W16-T23)</f>
        <v>113500</v>
      </c>
      <c r="W24" s="25">
        <f t="shared" si="0"/>
        <v>28375</v>
      </c>
    </row>
    <row r="25" spans="1:24">
      <c r="A25" s="25">
        <v>2000001</v>
      </c>
      <c r="B25" s="26">
        <v>4000000</v>
      </c>
      <c r="C25" s="27">
        <v>0.3</v>
      </c>
      <c r="D25" s="25">
        <f>IF((E16&gt;4000000),2000000,E16-B24)</f>
        <v>190000</v>
      </c>
      <c r="E25" s="25">
        <f t="shared" si="1"/>
        <v>57000</v>
      </c>
      <c r="F25"/>
      <c r="G25" s="38"/>
      <c r="H25" s="25">
        <v>2000001</v>
      </c>
      <c r="I25" s="26">
        <v>4000000</v>
      </c>
      <c r="J25" s="27">
        <v>0.3</v>
      </c>
      <c r="K25" s="25">
        <f>IF((L16&gt;4000000),2000000,L16-I24)</f>
        <v>120000</v>
      </c>
      <c r="L25" s="25">
        <f t="shared" si="2"/>
        <v>36000</v>
      </c>
      <c r="M25"/>
      <c r="S25" s="25">
        <v>2000001</v>
      </c>
      <c r="T25" s="26">
        <v>4000000</v>
      </c>
      <c r="U25" s="27">
        <v>0.3</v>
      </c>
      <c r="V25" s="25">
        <f>IF((W16&gt;5000000),3000000,W16-T24)</f>
        <v>-886500</v>
      </c>
      <c r="W25" s="25">
        <f t="shared" si="0"/>
        <v>0</v>
      </c>
    </row>
    <row r="26" spans="1:24">
      <c r="A26" s="25">
        <v>4000001</v>
      </c>
      <c r="B26" s="26"/>
      <c r="C26" s="27">
        <v>0.35</v>
      </c>
      <c r="D26" s="25" t="b">
        <f>IF((E16&gt;4000000),E16-B25)</f>
        <v>0</v>
      </c>
      <c r="E26" s="25">
        <f>D26*C26</f>
        <v>0</v>
      </c>
      <c r="F26"/>
      <c r="G26" s="38"/>
      <c r="H26" s="25">
        <v>4000001</v>
      </c>
      <c r="I26" s="26"/>
      <c r="J26" s="27">
        <v>0.35</v>
      </c>
      <c r="K26" s="25" t="b">
        <f>IF((L16&gt;4000000),L16-I25)</f>
        <v>0</v>
      </c>
      <c r="L26" s="25">
        <f>K26*J26</f>
        <v>0</v>
      </c>
      <c r="M26"/>
      <c r="S26" s="25">
        <v>5000001</v>
      </c>
      <c r="T26" s="26"/>
      <c r="U26" s="27">
        <v>0.35</v>
      </c>
      <c r="V26" s="25" t="b">
        <f>IF((W16&gt;5000000),W16-T25)</f>
        <v>0</v>
      </c>
      <c r="W26" s="25">
        <f>V26*U26</f>
        <v>0</v>
      </c>
    </row>
    <row r="27" spans="1:24">
      <c r="A27" s="52" t="s">
        <v>39</v>
      </c>
      <c r="B27" s="52"/>
      <c r="C27" s="52"/>
      <c r="D27" s="52"/>
      <c r="E27" s="21">
        <f>SUM(E19:E26)</f>
        <v>422000</v>
      </c>
      <c r="F27"/>
      <c r="G27" s="38"/>
      <c r="H27" s="52" t="s">
        <v>39</v>
      </c>
      <c r="I27" s="52"/>
      <c r="J27" s="52"/>
      <c r="K27" s="52"/>
      <c r="L27" s="21">
        <f>SUM(L19:L26)</f>
        <v>401000</v>
      </c>
      <c r="M27"/>
      <c r="N27" t="s">
        <v>10</v>
      </c>
      <c r="O27" s="1">
        <f>L22</f>
        <v>37500.000000000007</v>
      </c>
      <c r="S27" s="52" t="s">
        <v>39</v>
      </c>
      <c r="T27" s="52"/>
      <c r="U27" s="52"/>
      <c r="V27" s="52"/>
      <c r="W27" s="21">
        <f>SUM(W19:W26)</f>
        <v>150875</v>
      </c>
      <c r="X27" s="1"/>
    </row>
    <row r="28" spans="1:24" ht="14.4" thickBot="1">
      <c r="A28" s="53" t="s">
        <v>40</v>
      </c>
      <c r="B28" s="53"/>
      <c r="C28" s="53"/>
      <c r="D28" s="53"/>
      <c r="E28" s="28">
        <f>E27/12</f>
        <v>35166.666666666664</v>
      </c>
      <c r="F28"/>
      <c r="G28" s="38"/>
      <c r="H28" s="53" t="s">
        <v>40</v>
      </c>
      <c r="I28" s="53"/>
      <c r="J28" s="53"/>
      <c r="K28" s="53"/>
      <c r="L28" s="28">
        <f>L27/12</f>
        <v>33416.666666666664</v>
      </c>
      <c r="M28"/>
      <c r="N28" t="s">
        <v>19</v>
      </c>
      <c r="O28" s="13">
        <v>22489.01</v>
      </c>
      <c r="S28" s="53" t="s">
        <v>40</v>
      </c>
      <c r="T28" s="53"/>
      <c r="U28" s="53"/>
      <c r="V28" s="53"/>
      <c r="W28" s="28">
        <f>W27</f>
        <v>150875</v>
      </c>
    </row>
    <row r="29" spans="1:24" ht="14.4" thickTop="1">
      <c r="P29" s="13">
        <f>O27+O28</f>
        <v>59989.010000000009</v>
      </c>
    </row>
    <row r="30" spans="1:24">
      <c r="O30" t="s">
        <v>14</v>
      </c>
      <c r="P30" s="1" t="e">
        <f>O22-P29</f>
        <v>#REF!</v>
      </c>
    </row>
    <row r="31" spans="1:24" ht="18" thickBot="1">
      <c r="S31" s="56" t="s">
        <v>68</v>
      </c>
      <c r="T31" s="56"/>
      <c r="U31" s="56"/>
      <c r="V31" s="56"/>
      <c r="W31" s="45">
        <f>W28</f>
        <v>150875</v>
      </c>
      <c r="X31" s="64"/>
    </row>
    <row r="32" spans="1:24" ht="15" thickTop="1" thickBot="1">
      <c r="P32" s="1"/>
    </row>
    <row r="33" spans="15:23" ht="14.4" thickBot="1">
      <c r="O33" t="s">
        <v>16</v>
      </c>
      <c r="P33" s="12" t="e">
        <f>P30+L26</f>
        <v>#REF!</v>
      </c>
    </row>
    <row r="35" spans="15:23">
      <c r="W35" s="1"/>
    </row>
    <row r="72" spans="6:26" s="59" customFormat="1" ht="17.399999999999999">
      <c r="F72" s="60"/>
      <c r="G72" s="61"/>
      <c r="M72" s="60"/>
      <c r="S72" s="59" t="s">
        <v>62</v>
      </c>
    </row>
    <row r="74" spans="6:26">
      <c r="S74" s="29" t="s">
        <v>2</v>
      </c>
      <c r="T74" s="29"/>
      <c r="U74" s="29"/>
      <c r="V74" s="29"/>
      <c r="W74" s="57">
        <f>Z80</f>
        <v>2622875</v>
      </c>
      <c r="X74" s="51"/>
      <c r="Y74" s="1"/>
    </row>
    <row r="75" spans="6:26">
      <c r="W75" s="1"/>
      <c r="X75" s="51"/>
      <c r="Y75" s="1"/>
    </row>
    <row r="76" spans="6:26">
      <c r="S76" s="55" t="s">
        <v>1</v>
      </c>
      <c r="T76" s="55"/>
      <c r="U76" s="55"/>
      <c r="V76" s="55"/>
      <c r="W76" s="55"/>
      <c r="X76" s="1"/>
      <c r="Y76" s="1"/>
    </row>
    <row r="77" spans="6:26">
      <c r="S77" s="29" t="s">
        <v>51</v>
      </c>
      <c r="T77" s="29"/>
      <c r="U77" s="48"/>
      <c r="V77" s="29"/>
      <c r="W77" s="30">
        <f>7000*X77</f>
        <v>245000</v>
      </c>
      <c r="X77" s="32">
        <v>35</v>
      </c>
      <c r="Z77" s="1" t="s">
        <v>59</v>
      </c>
    </row>
    <row r="78" spans="6:26">
      <c r="S78" s="29" t="s">
        <v>52</v>
      </c>
      <c r="T78" s="29"/>
      <c r="U78" s="29"/>
      <c r="V78" s="29"/>
      <c r="W78" s="30">
        <f>(W74-W77)*50%</f>
        <v>1188937.5</v>
      </c>
      <c r="X78" s="1"/>
      <c r="Y78" s="58" t="s">
        <v>61</v>
      </c>
      <c r="Z78" s="1">
        <f>W3</f>
        <v>2472000</v>
      </c>
    </row>
    <row r="79" spans="6:26">
      <c r="S79" s="29"/>
      <c r="T79" s="29"/>
      <c r="U79" s="29"/>
      <c r="V79" s="29"/>
      <c r="W79" s="30"/>
      <c r="X79" s="1"/>
      <c r="Y79" s="58" t="s">
        <v>60</v>
      </c>
      <c r="Z79" s="1">
        <f>W31</f>
        <v>150875</v>
      </c>
    </row>
    <row r="80" spans="6:26" ht="14.4" thickBot="1">
      <c r="S80" s="29"/>
      <c r="T80" s="29"/>
      <c r="U80" s="29"/>
      <c r="V80" s="29"/>
      <c r="W80" s="29"/>
      <c r="X80" s="1"/>
      <c r="Z80" s="20">
        <f>Z78+Z79</f>
        <v>2622875</v>
      </c>
    </row>
    <row r="81" spans="19:26" ht="14.4" thickTop="1">
      <c r="S81" s="29"/>
      <c r="T81" s="29"/>
      <c r="U81" s="29"/>
      <c r="V81" s="29"/>
      <c r="W81" s="29"/>
    </row>
    <row r="82" spans="19:26">
      <c r="S82" s="29"/>
      <c r="T82" s="29"/>
      <c r="U82" s="29"/>
      <c r="V82" s="29"/>
      <c r="W82" s="29"/>
      <c r="Y82" s="1"/>
    </row>
    <row r="83" spans="19:26">
      <c r="S83" s="29"/>
      <c r="T83" s="29"/>
      <c r="U83" s="29"/>
      <c r="V83" s="29"/>
      <c r="W83" s="29"/>
      <c r="Y83" s="1"/>
      <c r="Z83" t="s">
        <v>55</v>
      </c>
    </row>
    <row r="84" spans="19:26">
      <c r="S84" s="29"/>
      <c r="T84" s="29"/>
      <c r="U84" s="29"/>
      <c r="V84" s="29"/>
      <c r="W84" s="29"/>
      <c r="Y84" s="1"/>
      <c r="Z84" s="1">
        <v>82400</v>
      </c>
    </row>
    <row r="85" spans="19:26" ht="14.4" thickBot="1">
      <c r="S85" s="54" t="s">
        <v>36</v>
      </c>
      <c r="T85" s="54"/>
      <c r="U85" s="54"/>
      <c r="V85" s="54"/>
      <c r="W85" s="22">
        <f>SUM(W77:W84)</f>
        <v>1433937.5</v>
      </c>
      <c r="Z85" s="1">
        <v>35</v>
      </c>
    </row>
    <row r="86" spans="19:26" ht="15" thickTop="1" thickBot="1">
      <c r="S86" s="51"/>
      <c r="T86" s="51"/>
      <c r="U86" s="51"/>
      <c r="V86" s="51"/>
      <c r="W86" s="1"/>
      <c r="Z86" s="20">
        <f>Z84*Z85</f>
        <v>2884000</v>
      </c>
    </row>
    <row r="87" spans="19:26" ht="14.4" thickTop="1">
      <c r="S87" s="54" t="s">
        <v>45</v>
      </c>
      <c r="T87" s="54"/>
      <c r="U87" s="54"/>
      <c r="V87" s="54"/>
      <c r="W87" s="21">
        <f>W74-W85</f>
        <v>1188937.5</v>
      </c>
    </row>
    <row r="89" spans="19:26">
      <c r="S89" s="23" t="s">
        <v>44</v>
      </c>
      <c r="T89" s="23" t="s">
        <v>43</v>
      </c>
      <c r="U89" s="24" t="s">
        <v>42</v>
      </c>
      <c r="V89" s="23" t="s">
        <v>37</v>
      </c>
      <c r="W89" s="23" t="s">
        <v>41</v>
      </c>
    </row>
    <row r="90" spans="19:26">
      <c r="S90" s="25">
        <v>0</v>
      </c>
      <c r="T90" s="26">
        <v>150000</v>
      </c>
      <c r="U90" s="27">
        <v>0.05</v>
      </c>
      <c r="V90" s="25">
        <f>IF((W87&gt;150000),150000,W87-T90)</f>
        <v>150000</v>
      </c>
      <c r="W90" s="25">
        <f t="shared" ref="W90:W96" si="3">IF((V90&lt;0),0,V90*U90)</f>
        <v>7500</v>
      </c>
    </row>
    <row r="91" spans="19:26">
      <c r="S91" s="25">
        <v>150001</v>
      </c>
      <c r="T91" s="26">
        <v>300000</v>
      </c>
      <c r="U91" s="27">
        <v>0.05</v>
      </c>
      <c r="V91" s="25">
        <f>IF((W87&gt;300000),150000,W87-T91)</f>
        <v>150000</v>
      </c>
      <c r="W91" s="25">
        <f t="shared" si="3"/>
        <v>7500</v>
      </c>
    </row>
    <row r="92" spans="19:26">
      <c r="S92" s="25">
        <v>300001</v>
      </c>
      <c r="T92" s="26">
        <v>500000</v>
      </c>
      <c r="U92" s="27">
        <v>0.1</v>
      </c>
      <c r="V92" s="25">
        <f>IF((W87&gt;500000),200000,W87-T91)</f>
        <v>200000</v>
      </c>
      <c r="W92" s="25">
        <f t="shared" si="3"/>
        <v>20000</v>
      </c>
    </row>
    <row r="93" spans="19:26">
      <c r="S93" s="25">
        <v>500001</v>
      </c>
      <c r="T93" s="26">
        <v>750000</v>
      </c>
      <c r="U93" s="27">
        <v>0.15000000000000002</v>
      </c>
      <c r="V93" s="25">
        <f>IF((W87&gt;750000),250000,W87-T92)</f>
        <v>250000</v>
      </c>
      <c r="W93" s="25">
        <f t="shared" si="3"/>
        <v>37500.000000000007</v>
      </c>
    </row>
    <row r="94" spans="19:26">
      <c r="S94" s="25">
        <v>750001</v>
      </c>
      <c r="T94" s="26">
        <v>1000000</v>
      </c>
      <c r="U94" s="27">
        <v>0.2</v>
      </c>
      <c r="V94" s="25">
        <f>IF((W87&gt;1000000),250000,W87-T93)</f>
        <v>250000</v>
      </c>
      <c r="W94" s="25">
        <f t="shared" si="3"/>
        <v>50000</v>
      </c>
    </row>
    <row r="95" spans="19:26">
      <c r="S95" s="25">
        <v>1000001</v>
      </c>
      <c r="T95" s="26">
        <v>2000000</v>
      </c>
      <c r="U95" s="27">
        <v>0.25</v>
      </c>
      <c r="V95" s="25">
        <f>IF((W87&gt;2000000),1000000,W87-T94)</f>
        <v>188937.5</v>
      </c>
      <c r="W95" s="25">
        <f t="shared" si="3"/>
        <v>47234.375</v>
      </c>
    </row>
    <row r="96" spans="19:26">
      <c r="S96" s="25">
        <v>2000001</v>
      </c>
      <c r="T96" s="26">
        <v>4000000</v>
      </c>
      <c r="U96" s="27">
        <v>0.3</v>
      </c>
      <c r="V96" s="25">
        <f>IF((W87&gt;5000000),3000000,W87-T95)</f>
        <v>-811062.5</v>
      </c>
      <c r="W96" s="25">
        <f t="shared" si="3"/>
        <v>0</v>
      </c>
    </row>
    <row r="97" spans="19:24">
      <c r="S97" s="25">
        <v>5000001</v>
      </c>
      <c r="T97" s="26"/>
      <c r="U97" s="27">
        <v>0.35</v>
      </c>
      <c r="V97" s="25" t="b">
        <f>IF((W87&gt;5000000),W87-T96)</f>
        <v>0</v>
      </c>
      <c r="W97" s="25">
        <f>V97*U97</f>
        <v>0</v>
      </c>
    </row>
    <row r="98" spans="19:24">
      <c r="S98" s="52" t="s">
        <v>39</v>
      </c>
      <c r="T98" s="52"/>
      <c r="U98" s="52"/>
      <c r="V98" s="52"/>
      <c r="W98" s="21">
        <f>SUM(W90:W97)</f>
        <v>169734.375</v>
      </c>
      <c r="X98" s="1"/>
    </row>
    <row r="99" spans="19:24" ht="14.4" thickBot="1">
      <c r="S99" s="53" t="s">
        <v>40</v>
      </c>
      <c r="T99" s="53"/>
      <c r="U99" s="53"/>
      <c r="V99" s="53"/>
      <c r="W99" s="28">
        <f>W98</f>
        <v>169734.375</v>
      </c>
    </row>
    <row r="100" spans="19:24" ht="14.4" thickTop="1"/>
    <row r="102" spans="19:24" ht="14.4" thickBot="1">
      <c r="S102" s="56" t="s">
        <v>69</v>
      </c>
      <c r="T102" s="56"/>
      <c r="U102" s="56"/>
      <c r="V102" s="56"/>
      <c r="W102" s="45">
        <f>W99</f>
        <v>169734.375</v>
      </c>
    </row>
    <row r="103" spans="19:24" ht="14.4" thickTop="1"/>
  </sheetData>
  <mergeCells count="22">
    <mergeCell ref="S87:V87"/>
    <mergeCell ref="S98:V98"/>
    <mergeCell ref="S99:V99"/>
    <mergeCell ref="S102:V102"/>
    <mergeCell ref="A28:D28"/>
    <mergeCell ref="H28:K28"/>
    <mergeCell ref="S28:V28"/>
    <mergeCell ref="S31:V31"/>
    <mergeCell ref="S76:W76"/>
    <mergeCell ref="S85:V85"/>
    <mergeCell ref="A16:D16"/>
    <mergeCell ref="H16:K16"/>
    <mergeCell ref="S16:V16"/>
    <mergeCell ref="A27:D27"/>
    <mergeCell ref="H27:K27"/>
    <mergeCell ref="S27:V27"/>
    <mergeCell ref="A5:E5"/>
    <mergeCell ref="H5:L5"/>
    <mergeCell ref="S5:W5"/>
    <mergeCell ref="A14:D14"/>
    <mergeCell ref="H14:K14"/>
    <mergeCell ref="S14:V1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03.2012</vt:lpstr>
      <vt:lpstr>1677022(ผิด)</vt:lpstr>
      <vt:lpstr>2007401(ผิด)</vt:lpstr>
      <vt:lpstr>01715608(ผิด) </vt:lpstr>
      <vt:lpstr>1422321(ถูก)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</dc:creator>
  <cp:lastModifiedBy>Arisara Jaroenpong</cp:lastModifiedBy>
  <dcterms:created xsi:type="dcterms:W3CDTF">2012-03-06T05:18:28Z</dcterms:created>
  <dcterms:modified xsi:type="dcterms:W3CDTF">2016-10-27T10:53:47Z</dcterms:modified>
</cp:coreProperties>
</file>