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1880" yWindow="0" windowWidth="23760" windowHeight="1432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3" i="3" l="1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72" i="3"/>
  <c r="K91" i="3"/>
  <c r="J91" i="3"/>
  <c r="I91" i="3"/>
  <c r="H91" i="3"/>
  <c r="F91" i="3"/>
  <c r="E91" i="3"/>
  <c r="D91" i="3"/>
  <c r="C91" i="3"/>
  <c r="K87" i="3"/>
  <c r="J87" i="3"/>
  <c r="I87" i="3"/>
  <c r="H87" i="3"/>
  <c r="F87" i="3"/>
  <c r="E87" i="3"/>
  <c r="D87" i="3"/>
  <c r="C87" i="3"/>
  <c r="K83" i="3"/>
  <c r="J83" i="3"/>
  <c r="I83" i="3"/>
  <c r="H83" i="3"/>
  <c r="F83" i="3"/>
  <c r="E83" i="3"/>
  <c r="D83" i="3"/>
  <c r="C83" i="3"/>
  <c r="K90" i="3"/>
  <c r="J90" i="3"/>
  <c r="I90" i="3"/>
  <c r="H90" i="3"/>
  <c r="F90" i="3"/>
  <c r="E90" i="3"/>
  <c r="D90" i="3"/>
  <c r="C90" i="3"/>
  <c r="K86" i="3"/>
  <c r="J86" i="3"/>
  <c r="I86" i="3"/>
  <c r="H86" i="3"/>
  <c r="F86" i="3"/>
  <c r="E86" i="3"/>
  <c r="D86" i="3"/>
  <c r="C86" i="3"/>
  <c r="K82" i="3"/>
  <c r="J82" i="3"/>
  <c r="I82" i="3"/>
  <c r="H82" i="3"/>
  <c r="F82" i="3"/>
  <c r="E82" i="3"/>
  <c r="D82" i="3"/>
  <c r="C82" i="3"/>
  <c r="K89" i="3"/>
  <c r="J89" i="3"/>
  <c r="I89" i="3"/>
  <c r="H89" i="3"/>
  <c r="F89" i="3"/>
  <c r="E89" i="3"/>
  <c r="D89" i="3"/>
  <c r="C89" i="3"/>
  <c r="K85" i="3"/>
  <c r="J85" i="3"/>
  <c r="I85" i="3"/>
  <c r="H85" i="3"/>
  <c r="F85" i="3"/>
  <c r="E85" i="3"/>
  <c r="D85" i="3"/>
  <c r="C85" i="3"/>
  <c r="K81" i="3"/>
  <c r="J81" i="3"/>
  <c r="I81" i="3"/>
  <c r="H81" i="3"/>
  <c r="F81" i="3"/>
  <c r="E81" i="3"/>
  <c r="D81" i="3"/>
  <c r="C81" i="3"/>
  <c r="K88" i="3"/>
  <c r="J88" i="3"/>
  <c r="I88" i="3"/>
  <c r="H88" i="3"/>
  <c r="F88" i="3"/>
  <c r="E88" i="3"/>
  <c r="D88" i="3"/>
  <c r="C88" i="3"/>
  <c r="K84" i="3"/>
  <c r="J84" i="3"/>
  <c r="I84" i="3"/>
  <c r="H84" i="3"/>
  <c r="F84" i="3"/>
  <c r="E84" i="3"/>
  <c r="D84" i="3"/>
  <c r="C84" i="3"/>
  <c r="K80" i="3"/>
  <c r="J80" i="3"/>
  <c r="I80" i="3"/>
  <c r="H80" i="3"/>
  <c r="F80" i="3"/>
  <c r="E80" i="3"/>
  <c r="D80" i="3"/>
  <c r="C80" i="3"/>
  <c r="K79" i="3"/>
  <c r="J79" i="3"/>
  <c r="I79" i="3"/>
  <c r="H79" i="3"/>
  <c r="F79" i="3"/>
  <c r="E79" i="3"/>
  <c r="D79" i="3"/>
  <c r="C79" i="3"/>
  <c r="K78" i="3"/>
  <c r="J78" i="3"/>
  <c r="I78" i="3"/>
  <c r="H78" i="3"/>
  <c r="F78" i="3"/>
  <c r="E78" i="3"/>
  <c r="D78" i="3"/>
  <c r="C78" i="3"/>
  <c r="K77" i="3"/>
  <c r="J77" i="3"/>
  <c r="I77" i="3"/>
  <c r="H77" i="3"/>
  <c r="F77" i="3"/>
  <c r="E77" i="3"/>
  <c r="D77" i="3"/>
  <c r="C77" i="3"/>
  <c r="K76" i="3"/>
  <c r="J76" i="3"/>
  <c r="I76" i="3"/>
  <c r="H76" i="3"/>
  <c r="F76" i="3"/>
  <c r="E76" i="3"/>
  <c r="D76" i="3"/>
  <c r="C76" i="3"/>
  <c r="K75" i="3"/>
  <c r="J75" i="3"/>
  <c r="I75" i="3"/>
  <c r="H75" i="3"/>
  <c r="F75" i="3"/>
  <c r="E75" i="3"/>
  <c r="D75" i="3"/>
  <c r="C75" i="3"/>
  <c r="K74" i="3"/>
  <c r="J74" i="3"/>
  <c r="I74" i="3"/>
  <c r="H74" i="3"/>
  <c r="F74" i="3"/>
  <c r="E74" i="3"/>
  <c r="D74" i="3"/>
  <c r="C74" i="3"/>
  <c r="K73" i="3"/>
  <c r="J73" i="3"/>
  <c r="I73" i="3"/>
  <c r="H73" i="3"/>
  <c r="F73" i="3"/>
  <c r="E73" i="3"/>
  <c r="D73" i="3"/>
  <c r="C73" i="3"/>
  <c r="K72" i="3"/>
  <c r="J72" i="3"/>
  <c r="I72" i="3"/>
  <c r="H72" i="3"/>
  <c r="F72" i="3"/>
  <c r="E72" i="3"/>
  <c r="D72" i="3"/>
  <c r="C72" i="3"/>
  <c r="K6" i="3"/>
  <c r="K16" i="3"/>
  <c r="K21" i="3"/>
  <c r="K11" i="3"/>
  <c r="K15" i="3"/>
  <c r="K5" i="3"/>
  <c r="K20" i="3"/>
  <c r="K10" i="3"/>
  <c r="K14" i="3"/>
  <c r="K4" i="3"/>
  <c r="K19" i="3"/>
  <c r="K9" i="3"/>
  <c r="K12" i="3"/>
  <c r="K2" i="3"/>
  <c r="K17" i="3"/>
  <c r="K7" i="3"/>
  <c r="K13" i="3"/>
  <c r="K3" i="3"/>
  <c r="K18" i="3"/>
  <c r="K8" i="3"/>
  <c r="J13" i="3"/>
  <c r="J3" i="3"/>
  <c r="J8" i="3"/>
  <c r="J18" i="3"/>
  <c r="J16" i="3"/>
  <c r="J6" i="3"/>
  <c r="J21" i="3"/>
  <c r="J11" i="3"/>
  <c r="J15" i="3"/>
  <c r="J5" i="3"/>
  <c r="J20" i="3"/>
  <c r="J10" i="3"/>
  <c r="J14" i="3"/>
  <c r="J4" i="3"/>
  <c r="J19" i="3"/>
  <c r="J9" i="3"/>
  <c r="J12" i="3"/>
  <c r="J2" i="3"/>
  <c r="J17" i="3"/>
  <c r="J7" i="3"/>
  <c r="I13" i="3"/>
  <c r="I8" i="3"/>
  <c r="I3" i="3"/>
  <c r="I18" i="3"/>
  <c r="I16" i="3"/>
  <c r="I6" i="3"/>
  <c r="I21" i="3"/>
  <c r="I11" i="3"/>
  <c r="I15" i="3"/>
  <c r="I5" i="3"/>
  <c r="I20" i="3"/>
  <c r="I10" i="3"/>
  <c r="I14" i="3"/>
  <c r="I4" i="3"/>
  <c r="I19" i="3"/>
  <c r="I9" i="3"/>
  <c r="I12" i="3"/>
  <c r="I2" i="3"/>
  <c r="I17" i="3"/>
  <c r="I7" i="3"/>
  <c r="H16" i="3"/>
  <c r="H17" i="3"/>
  <c r="H6" i="3"/>
  <c r="H21" i="3"/>
  <c r="H11" i="3"/>
  <c r="H15" i="3"/>
  <c r="H5" i="3"/>
  <c r="H20" i="3"/>
  <c r="H10" i="3"/>
  <c r="H14" i="3"/>
  <c r="H4" i="3"/>
  <c r="H19" i="3"/>
  <c r="H9" i="3"/>
  <c r="H12" i="3"/>
  <c r="H2" i="3"/>
  <c r="H7" i="3"/>
  <c r="H13" i="3"/>
  <c r="H3" i="3"/>
  <c r="H18" i="3"/>
  <c r="H8" i="3"/>
  <c r="F13" i="3"/>
  <c r="F8" i="3"/>
  <c r="F3" i="3"/>
  <c r="F6" i="3"/>
  <c r="F18" i="3"/>
  <c r="F4" i="3"/>
  <c r="F16" i="3"/>
  <c r="F21" i="3"/>
  <c r="F11" i="3"/>
  <c r="F15" i="3"/>
  <c r="F5" i="3"/>
  <c r="F10" i="3"/>
  <c r="F20" i="3"/>
  <c r="F19" i="3"/>
  <c r="F14" i="3"/>
  <c r="F9" i="3"/>
  <c r="F17" i="3"/>
  <c r="F12" i="3"/>
  <c r="F7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M45" i="2"/>
  <c r="K45" i="2"/>
  <c r="I45" i="2"/>
  <c r="M44" i="2"/>
  <c r="K44" i="2"/>
  <c r="I44" i="2"/>
  <c r="M43" i="2"/>
  <c r="K43" i="2"/>
  <c r="I43" i="2"/>
  <c r="M42" i="2"/>
  <c r="K42" i="2"/>
  <c r="I42" i="2"/>
  <c r="M41" i="2"/>
  <c r="K41" i="2"/>
  <c r="I41" i="2"/>
  <c r="D36" i="2"/>
  <c r="C36" i="2"/>
  <c r="B36" i="2"/>
  <c r="M36" i="2"/>
  <c r="K36" i="2"/>
  <c r="I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M35" i="2"/>
  <c r="K35" i="2"/>
  <c r="I35" i="2"/>
  <c r="M34" i="2"/>
  <c r="K34" i="2"/>
  <c r="I34" i="2"/>
  <c r="M32" i="2"/>
  <c r="K32" i="2"/>
  <c r="I32" i="2"/>
  <c r="M33" i="2"/>
  <c r="K33" i="2"/>
  <c r="I33" i="2"/>
  <c r="M31" i="2"/>
  <c r="K31" i="2"/>
  <c r="I31" i="2"/>
  <c r="D40" i="2"/>
  <c r="C40" i="2"/>
  <c r="B40" i="2"/>
  <c r="D39" i="2"/>
  <c r="C39" i="2"/>
  <c r="B39" i="2"/>
  <c r="D38" i="2"/>
  <c r="C38" i="2"/>
  <c r="B38" i="2"/>
  <c r="D37" i="2"/>
  <c r="C37" i="2"/>
  <c r="B37" i="2"/>
  <c r="M40" i="2"/>
  <c r="K40" i="2"/>
  <c r="I40" i="2"/>
  <c r="M39" i="2"/>
  <c r="K39" i="2"/>
  <c r="I39" i="2"/>
  <c r="M38" i="2"/>
  <c r="K38" i="2"/>
  <c r="I38" i="2"/>
  <c r="M37" i="2"/>
  <c r="K37" i="2"/>
  <c r="I37" i="2"/>
  <c r="M30" i="2"/>
  <c r="K30" i="2"/>
  <c r="I30" i="2"/>
  <c r="D30" i="2"/>
  <c r="C30" i="2"/>
  <c r="B30" i="2"/>
  <c r="M29" i="2"/>
  <c r="K29" i="2"/>
  <c r="I29" i="2"/>
  <c r="D29" i="2"/>
  <c r="C29" i="2"/>
  <c r="B29" i="2"/>
  <c r="M28" i="2"/>
  <c r="K28" i="2"/>
  <c r="I28" i="2"/>
  <c r="D28" i="2"/>
  <c r="C28" i="2"/>
  <c r="B28" i="2"/>
  <c r="M27" i="2"/>
  <c r="K27" i="2"/>
  <c r="I27" i="2"/>
  <c r="D27" i="2"/>
  <c r="C27" i="2"/>
  <c r="B27" i="2"/>
  <c r="M26" i="2"/>
  <c r="K26" i="2"/>
  <c r="I26" i="2"/>
  <c r="D26" i="2"/>
  <c r="C26" i="2"/>
  <c r="B26" i="2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5" i="3"/>
  <c r="E6" i="3"/>
  <c r="D5" i="3"/>
  <c r="D6" i="3"/>
  <c r="C5" i="3"/>
  <c r="C6" i="3"/>
  <c r="E4" i="3"/>
  <c r="D4" i="3"/>
  <c r="C4" i="3"/>
  <c r="E3" i="3"/>
  <c r="D3" i="3"/>
  <c r="C3" i="3"/>
  <c r="E2" i="3"/>
  <c r="D2" i="3"/>
  <c r="C2" i="3"/>
  <c r="K7" i="2"/>
  <c r="K8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K4" i="2"/>
  <c r="K5" i="2"/>
  <c r="K6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M3" i="2"/>
  <c r="K3" i="2"/>
  <c r="I18" i="2"/>
  <c r="I19" i="2"/>
  <c r="I20" i="2"/>
  <c r="I21" i="2"/>
  <c r="I22" i="2"/>
  <c r="I7" i="2"/>
  <c r="I8" i="2"/>
  <c r="I9" i="2"/>
  <c r="I10" i="2"/>
  <c r="I11" i="2"/>
  <c r="I12" i="2"/>
  <c r="I4" i="2"/>
  <c r="I5" i="2"/>
  <c r="I6" i="2"/>
  <c r="I13" i="2"/>
  <c r="I14" i="2"/>
  <c r="I15" i="2"/>
  <c r="I16" i="2"/>
  <c r="I17" i="2"/>
  <c r="I3" i="2"/>
  <c r="D7" i="2"/>
  <c r="D11" i="2"/>
  <c r="D15" i="2"/>
  <c r="D19" i="2"/>
  <c r="D3" i="2"/>
  <c r="C7" i="2"/>
  <c r="C11" i="2"/>
  <c r="C15" i="2"/>
  <c r="C19" i="2"/>
  <c r="C3" i="2"/>
  <c r="B7" i="2"/>
  <c r="B11" i="2"/>
  <c r="B15" i="2"/>
  <c r="B19" i="2"/>
  <c r="B3" i="2"/>
  <c r="I3" i="1"/>
  <c r="I4" i="1"/>
  <c r="H3" i="1"/>
  <c r="H4" i="1"/>
  <c r="J3" i="1"/>
  <c r="J4" i="1"/>
  <c r="G3" i="1"/>
  <c r="G4" i="1"/>
  <c r="J9" i="1"/>
  <c r="J10" i="1"/>
  <c r="J8" i="1"/>
  <c r="I9" i="1"/>
  <c r="I10" i="1"/>
  <c r="I8" i="1"/>
  <c r="H9" i="1"/>
  <c r="H10" i="1"/>
  <c r="H8" i="1"/>
  <c r="G10" i="1"/>
  <c r="G9" i="1"/>
  <c r="G8" i="1"/>
  <c r="E39" i="1"/>
  <c r="D39" i="1"/>
  <c r="C39" i="1"/>
  <c r="B39" i="1"/>
  <c r="E38" i="1"/>
  <c r="D38" i="1"/>
  <c r="C38" i="1"/>
  <c r="E37" i="1"/>
  <c r="D37" i="1"/>
  <c r="C37" i="1"/>
  <c r="B37" i="1"/>
  <c r="E42" i="1"/>
  <c r="D42" i="1"/>
  <c r="C42" i="1"/>
  <c r="B42" i="1"/>
  <c r="E41" i="1"/>
  <c r="D41" i="1"/>
  <c r="C41" i="1"/>
  <c r="B41" i="1"/>
  <c r="E40" i="1"/>
  <c r="D40" i="1"/>
  <c r="C40" i="1"/>
  <c r="B40" i="1"/>
  <c r="E2" i="1"/>
  <c r="D2" i="1"/>
  <c r="C2" i="1"/>
  <c r="B2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4" i="1"/>
  <c r="D4" i="1"/>
  <c r="C4" i="1"/>
  <c r="B4" i="1"/>
  <c r="E3" i="1"/>
  <c r="D3" i="1"/>
  <c r="C3" i="1"/>
</calcChain>
</file>

<file path=xl/sharedStrings.xml><?xml version="1.0" encoding="utf-8"?>
<sst xmlns="http://schemas.openxmlformats.org/spreadsheetml/2006/main" count="127" uniqueCount="21">
  <si>
    <t>0pF</t>
  </si>
  <si>
    <t>1pF</t>
  </si>
  <si>
    <t>2pF</t>
  </si>
  <si>
    <t>4pF</t>
  </si>
  <si>
    <t>time/ns</t>
  </si>
  <si>
    <t>slope</t>
  </si>
  <si>
    <t>PVT Measurement</t>
  </si>
  <si>
    <t>scale</t>
  </si>
  <si>
    <t>VDD_LOW</t>
  </si>
  <si>
    <t>VDD_HIGH</t>
  </si>
  <si>
    <t>PVDD</t>
  </si>
  <si>
    <t>bitline load</t>
  </si>
  <si>
    <t>1st Order fitting gain</t>
  </si>
  <si>
    <t>output differential fitting error(mV)</t>
  </si>
  <si>
    <t>ADC noise</t>
  </si>
  <si>
    <t>Readout Noise</t>
  </si>
  <si>
    <t>input referred ADC noise</t>
  </si>
  <si>
    <t>input referred readout noise</t>
  </si>
  <si>
    <t>input referred fitting error(mV)</t>
  </si>
  <si>
    <t>1st Order forward gain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</si>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</sst>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4" tint="-0.499984740745262"/>
      <name val="Calibri"/>
      <scheme val="minor"/>
    </font>
    <font>
      <sz val="11"/>
      <color rgb="FFFF6600"/>
      <name val="Calibri"/>
      <scheme val="minor"/>
    </font>
    <font>
      <sz val="11"/>
      <color rgb="FF008000"/>
      <name val="Calibri"/>
      <scheme val="minor"/>
    </font>
    <font>
      <sz val="11"/>
      <color theme="1" tint="0.34998626667073579"/>
      <name val="Calibri"/>
      <scheme val="minor"/>
    </font>
    <font>
      <sz val="11"/>
      <color theme="1" tint="0.499984740745262"/>
      <name val="Calibri"/>
      <scheme val="minor"/>
    </font>
    <font>
      <sz val="11"/>
      <color theme="4" tint="-0.499984740745262"/>
      <name val="宋体"/>
      <charset val="134"/>
    </font>
    <font>
      <sz val="11"/>
      <color theme="1" tint="0.499984740745262"/>
      <name val="宋体"/>
      <charset val="134"/>
    </font>
    <font>
      <sz val="11"/>
      <color rgb="FF008000"/>
      <name val="宋体"/>
      <charset val="134"/>
    </font>
    <font>
      <sz val="11"/>
      <color rgb="FFFF66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3" fillId="0" borderId="0" xfId="0" applyNumberFormat="1" applyFont="1"/>
    <xf numFmtId="164" fontId="8" fillId="0" borderId="0" xfId="0" applyNumberFormat="1" applyFont="1"/>
    <xf numFmtId="164" fontId="4" fillId="0" borderId="0" xfId="0" applyNumberFormat="1" applyFont="1"/>
    <xf numFmtId="164" fontId="11" fillId="0" borderId="0" xfId="0" applyNumberFormat="1" applyFont="1"/>
    <xf numFmtId="164" fontId="7" fillId="0" borderId="0" xfId="0" applyNumberFormat="1" applyFont="1"/>
    <xf numFmtId="164" fontId="9" fillId="0" borderId="0" xfId="0" applyNumberFormat="1" applyFont="1"/>
    <xf numFmtId="164" fontId="5" fillId="0" borderId="0" xfId="0" applyNumberFormat="1" applyFont="1"/>
    <xf numFmtId="164" fontId="10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0" fontId="0" fillId="0" borderId="0" xfId="0" applyNumberForma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0pF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0.638569604086845</c:v>
                </c:pt>
                <c:pt idx="1">
                  <c:v>0.7097232079489</c:v>
                </c:pt>
                <c:pt idx="2">
                  <c:v>0.762195121951219</c:v>
                </c:pt>
                <c:pt idx="3">
                  <c:v>0.797448165869218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1pF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0.639386189258312</c:v>
                </c:pt>
                <c:pt idx="1">
                  <c:v>0.69589422407794</c:v>
                </c:pt>
                <c:pt idx="2">
                  <c:v>0.740740740740741</c:v>
                </c:pt>
                <c:pt idx="3">
                  <c:v>0.773993808049535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2pF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0.651041666666667</c:v>
                </c:pt>
                <c:pt idx="1">
                  <c:v>0.696864111498258</c:v>
                </c:pt>
                <c:pt idx="2">
                  <c:v>0.731528895391368</c:v>
                </c:pt>
                <c:pt idx="3">
                  <c:v>0.760456273764259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4pF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0.677048070412999</c:v>
                </c:pt>
                <c:pt idx="1">
                  <c:v>0.706713780918728</c:v>
                </c:pt>
                <c:pt idx="2">
                  <c:v>0.730994152046783</c:v>
                </c:pt>
                <c:pt idx="3">
                  <c:v>0.75187969924812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73080"/>
        <c:axId val="-2085254952"/>
      </c:scatterChart>
      <c:valAx>
        <c:axId val="-2085073080"/>
        <c:scaling>
          <c:orientation val="minMax"/>
          <c:min val="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54952"/>
        <c:crosses val="autoZero"/>
        <c:crossBetween val="midCat"/>
      </c:valAx>
      <c:valAx>
        <c:axId val="-20852549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Settling Percentage</a:t>
            </a:r>
            <a:r>
              <a:rPr lang="en-US" baseline="0"/>
              <a:t> vs Settling Time w 4pF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supply scale = 0.9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Sheet3!$F$17:$K$17</c:f>
              <c:numCache>
                <c:formatCode>0.0000</c:formatCode>
                <c:ptCount val="6"/>
                <c:pt idx="0">
                  <c:v>0.542005420054201</c:v>
                </c:pt>
                <c:pt idx="1">
                  <c:v>0.567536889897843</c:v>
                </c:pt>
                <c:pt idx="2">
                  <c:v>0.58173356602676</c:v>
                </c:pt>
                <c:pt idx="3">
                  <c:v>0.60313630880579</c:v>
                </c:pt>
                <c:pt idx="4">
                  <c:v>0.623830318153462</c:v>
                </c:pt>
                <c:pt idx="5">
                  <c:v>0.641025641025641</c:v>
                </c:pt>
              </c:numCache>
            </c:numRef>
          </c:yVal>
          <c:smooth val="1"/>
        </c:ser>
        <c:ser>
          <c:idx val="1"/>
          <c:order val="1"/>
          <c:tx>
            <c:v>Supply Scale = 0.95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Sheet3!$F$18:$K$18</c:f>
              <c:numCache>
                <c:formatCode>0.0000</c:formatCode>
                <c:ptCount val="6"/>
                <c:pt idx="0">
                  <c:v>0.588235294117647</c:v>
                </c:pt>
                <c:pt idx="1">
                  <c:v>0.612369871402327</c:v>
                </c:pt>
                <c:pt idx="2">
                  <c:v>0.630119722747322</c:v>
                </c:pt>
                <c:pt idx="3">
                  <c:v>0.654450261780105</c:v>
                </c:pt>
                <c:pt idx="4">
                  <c:v>0.6765899864682</c:v>
                </c:pt>
                <c:pt idx="5">
                  <c:v>0.69492703266157</c:v>
                </c:pt>
              </c:numCache>
            </c:numRef>
          </c:yVal>
          <c:smooth val="1"/>
        </c:ser>
        <c:ser>
          <c:idx val="2"/>
          <c:order val="2"/>
          <c:tx>
            <c:v>Supply Scale = 1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Sheet3!$F$19:$K$19</c:f>
              <c:numCache>
                <c:formatCode>0.0000</c:formatCode>
                <c:ptCount val="6"/>
                <c:pt idx="0">
                  <c:v>0.60790273556231</c:v>
                </c:pt>
                <c:pt idx="1">
                  <c:v>0.640204865556978</c:v>
                </c:pt>
                <c:pt idx="2">
                  <c:v>0.66006600660066</c:v>
                </c:pt>
                <c:pt idx="3">
                  <c:v>0.687757909215956</c:v>
                </c:pt>
                <c:pt idx="4">
                  <c:v>0.710732054015636</c:v>
                </c:pt>
                <c:pt idx="5">
                  <c:v>0.734753857457752</c:v>
                </c:pt>
              </c:numCache>
            </c:numRef>
          </c:yVal>
          <c:smooth val="1"/>
        </c:ser>
        <c:ser>
          <c:idx val="3"/>
          <c:order val="3"/>
          <c:tx>
            <c:v>Supply Scale = 1.05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Sheet3!$F$20:$K$20</c:f>
              <c:numCache>
                <c:formatCode>0.0000</c:formatCode>
                <c:ptCount val="6"/>
                <c:pt idx="0">
                  <c:v>0.619195046439628</c:v>
                </c:pt>
                <c:pt idx="1">
                  <c:v>0.656167979002625</c:v>
                </c:pt>
                <c:pt idx="2">
                  <c:v>0.677966101694915</c:v>
                </c:pt>
                <c:pt idx="3">
                  <c:v>0.706214689265537</c:v>
                </c:pt>
                <c:pt idx="4">
                  <c:v>0.732600732600732</c:v>
                </c:pt>
                <c:pt idx="5">
                  <c:v>0.755287009063444</c:v>
                </c:pt>
              </c:numCache>
            </c:numRef>
          </c:yVal>
          <c:smooth val="1"/>
        </c:ser>
        <c:ser>
          <c:idx val="4"/>
          <c:order val="4"/>
          <c:tx>
            <c:v>Supply Scale = 1.1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Sheet3!$F$21:$K$21</c:f>
              <c:numCache>
                <c:formatCode>0.0000</c:formatCode>
                <c:ptCount val="6"/>
                <c:pt idx="0">
                  <c:v>0.628535512256442</c:v>
                </c:pt>
                <c:pt idx="1">
                  <c:v>0.667556742323097</c:v>
                </c:pt>
                <c:pt idx="2">
                  <c:v>0.689655172413793</c:v>
                </c:pt>
                <c:pt idx="3">
                  <c:v>0.719424460431655</c:v>
                </c:pt>
                <c:pt idx="4">
                  <c:v>0.745156482861401</c:v>
                </c:pt>
                <c:pt idx="5">
                  <c:v>0.766871165644172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145656"/>
        <c:axId val="-2081137896"/>
      </c:scatterChart>
      <c:valAx>
        <c:axId val="-208114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1137896"/>
        <c:crosses val="autoZero"/>
        <c:crossBetween val="midCat"/>
      </c:valAx>
      <c:valAx>
        <c:axId val="-2081137896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1145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@90%VDD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Sheet3!$F$72:$K$72</c:f>
              <c:numCache>
                <c:formatCode>0.0000</c:formatCode>
                <c:ptCount val="6"/>
                <c:pt idx="0">
                  <c:v>0.399042298483639</c:v>
                </c:pt>
                <c:pt idx="1">
                  <c:v>0.514933058702369</c:v>
                </c:pt>
                <c:pt idx="2">
                  <c:v>0.564652738565782</c:v>
                </c:pt>
                <c:pt idx="3">
                  <c:v>0.602046959662854</c:v>
                </c:pt>
                <c:pt idx="4">
                  <c:v>0.638162093171666</c:v>
                </c:pt>
                <c:pt idx="5">
                  <c:v>0.661375661375661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Sheet3!$F$73:$K$73</c:f>
              <c:numCache>
                <c:formatCode>0.0000</c:formatCode>
                <c:ptCount val="6"/>
                <c:pt idx="0">
                  <c:v>0.429000429000429</c:v>
                </c:pt>
                <c:pt idx="1">
                  <c:v>0.513347022587269</c:v>
                </c:pt>
                <c:pt idx="2">
                  <c:v>0.552791597567717</c:v>
                </c:pt>
                <c:pt idx="3">
                  <c:v>0.591366055588409</c:v>
                </c:pt>
                <c:pt idx="4">
                  <c:v>0.623830318153462</c:v>
                </c:pt>
                <c:pt idx="5">
                  <c:v>0.646830530401035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Sheet3!$F$74:$K$74</c:f>
              <c:numCache>
                <c:formatCode>0.0000</c:formatCode>
                <c:ptCount val="6"/>
                <c:pt idx="0">
                  <c:v>0.465116279069767</c:v>
                </c:pt>
                <c:pt idx="1">
                  <c:v>0.528262017960909</c:v>
                </c:pt>
                <c:pt idx="2">
                  <c:v>0.560538116591928</c:v>
                </c:pt>
                <c:pt idx="3">
                  <c:v>0.595947556615018</c:v>
                </c:pt>
                <c:pt idx="4">
                  <c:v>0.625</c:v>
                </c:pt>
                <c:pt idx="5">
                  <c:v>0.647249190938511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Sheet3!$F$75:$K$75</c:f>
              <c:numCache>
                <c:formatCode>0.0000</c:formatCode>
                <c:ptCount val="6"/>
                <c:pt idx="0">
                  <c:v>0.542005420054201</c:v>
                </c:pt>
                <c:pt idx="1">
                  <c:v>0.567536889897843</c:v>
                </c:pt>
                <c:pt idx="2">
                  <c:v>0.58173356602676</c:v>
                </c:pt>
                <c:pt idx="3">
                  <c:v>0.60313630880579</c:v>
                </c:pt>
                <c:pt idx="4">
                  <c:v>0.623830318153462</c:v>
                </c:pt>
                <c:pt idx="5">
                  <c:v>0.641025641025641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101544"/>
        <c:axId val="-2081094216"/>
      </c:scatterChart>
      <c:valAx>
        <c:axId val="-208110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1094216"/>
        <c:crosses val="autoZero"/>
        <c:crossBetween val="midCat"/>
      </c:valAx>
      <c:valAx>
        <c:axId val="-2081094216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110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@95%VDD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Sheet3!$F$76:$K$76</c:f>
              <c:numCache>
                <c:formatCode>0.0000</c:formatCode>
                <c:ptCount val="6"/>
                <c:pt idx="0">
                  <c:v>0.431406384814495</c:v>
                </c:pt>
                <c:pt idx="1">
                  <c:v>0.555864369093941</c:v>
                </c:pt>
                <c:pt idx="2">
                  <c:v>0.61050061050061</c:v>
                </c:pt>
                <c:pt idx="3">
                  <c:v>0.65359477124183</c:v>
                </c:pt>
                <c:pt idx="4">
                  <c:v>0.69589422407794</c:v>
                </c:pt>
                <c:pt idx="5">
                  <c:v>0.736377025036819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Sheet3!$F$77:$K$77</c:f>
              <c:numCache>
                <c:formatCode>0.0000</c:formatCode>
                <c:ptCount val="6"/>
                <c:pt idx="0">
                  <c:v>0.466417910447761</c:v>
                </c:pt>
                <c:pt idx="1">
                  <c:v>0.555247084952804</c:v>
                </c:pt>
                <c:pt idx="2">
                  <c:v>0.598802395209581</c:v>
                </c:pt>
                <c:pt idx="3">
                  <c:v>0.641848523748395</c:v>
                </c:pt>
                <c:pt idx="4">
                  <c:v>0.679347826086956</c:v>
                </c:pt>
                <c:pt idx="5">
                  <c:v>0.706214689265537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Sheet3!$F$78:$K$78</c:f>
              <c:numCache>
                <c:formatCode>0.0000</c:formatCode>
                <c:ptCount val="6"/>
                <c:pt idx="0">
                  <c:v>0.505561172901921</c:v>
                </c:pt>
                <c:pt idx="1">
                  <c:v>0.570776255707763</c:v>
                </c:pt>
                <c:pt idx="2">
                  <c:v>0.605326876513317</c:v>
                </c:pt>
                <c:pt idx="3">
                  <c:v>0.644745325596389</c:v>
                </c:pt>
                <c:pt idx="4">
                  <c:v>0.6765899864682</c:v>
                </c:pt>
                <c:pt idx="5">
                  <c:v>0.701262272089761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Sheet3!$F$79:$K$79</c:f>
              <c:numCache>
                <c:formatCode>0.0000</c:formatCode>
                <c:ptCount val="6"/>
                <c:pt idx="0">
                  <c:v>0.588235294117647</c:v>
                </c:pt>
                <c:pt idx="1">
                  <c:v>0.612369871402327</c:v>
                </c:pt>
                <c:pt idx="2">
                  <c:v>0.630119722747322</c:v>
                </c:pt>
                <c:pt idx="3">
                  <c:v>0.654450261780105</c:v>
                </c:pt>
                <c:pt idx="4">
                  <c:v>0.6765899864682</c:v>
                </c:pt>
                <c:pt idx="5">
                  <c:v>0.69492703266157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70488"/>
        <c:axId val="-2080716792"/>
      </c:scatterChart>
      <c:valAx>
        <c:axId val="-208127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0716792"/>
        <c:crosses val="autoZero"/>
        <c:crossBetween val="midCat"/>
      </c:valAx>
      <c:valAx>
        <c:axId val="-2080716792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1270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@100%VDD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Sheet3!$F$80:$K$80</c:f>
              <c:numCache>
                <c:formatCode>0.0000</c:formatCode>
                <c:ptCount val="6"/>
                <c:pt idx="0">
                  <c:v>0.455788514129444</c:v>
                </c:pt>
                <c:pt idx="1">
                  <c:v>0.586166471277843</c:v>
                </c:pt>
                <c:pt idx="2">
                  <c:v>0.643500643500643</c:v>
                </c:pt>
                <c:pt idx="3">
                  <c:v>0.692041522491349</c:v>
                </c:pt>
                <c:pt idx="4">
                  <c:v>0.741839762611276</c:v>
                </c:pt>
                <c:pt idx="5">
                  <c:v>0.78064012490242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Sheet3!$F$81:$K$81</c:f>
              <c:numCache>
                <c:formatCode>0.0000</c:formatCode>
                <c:ptCount val="6"/>
                <c:pt idx="0">
                  <c:v>0.493096646942801</c:v>
                </c:pt>
                <c:pt idx="1">
                  <c:v>0.585480093676815</c:v>
                </c:pt>
                <c:pt idx="2">
                  <c:v>0.630914826498423</c:v>
                </c:pt>
                <c:pt idx="3">
                  <c:v>0.6765899864682</c:v>
                </c:pt>
                <c:pt idx="4">
                  <c:v>0.718390804597701</c:v>
                </c:pt>
                <c:pt idx="5">
                  <c:v>0.755287009063444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Sheet3!$F$82:$K$82</c:f>
              <c:numCache>
                <c:formatCode>0.0000</c:formatCode>
                <c:ptCount val="6"/>
                <c:pt idx="0">
                  <c:v>0.53276505061268</c:v>
                </c:pt>
                <c:pt idx="1">
                  <c:v>0.600240096038415</c:v>
                </c:pt>
                <c:pt idx="2">
                  <c:v>0.636132315521628</c:v>
                </c:pt>
                <c:pt idx="3">
                  <c:v>0.6765899864682</c:v>
                </c:pt>
                <c:pt idx="4">
                  <c:v>0.710227272727273</c:v>
                </c:pt>
                <c:pt idx="5">
                  <c:v>0.742942050520059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Sheet3!$F$83:$K$83</c:f>
              <c:numCache>
                <c:formatCode>0.0000</c:formatCode>
                <c:ptCount val="6"/>
                <c:pt idx="0">
                  <c:v>0.60790273556231</c:v>
                </c:pt>
                <c:pt idx="1">
                  <c:v>0.640204865556978</c:v>
                </c:pt>
                <c:pt idx="2">
                  <c:v>0.66006600660066</c:v>
                </c:pt>
                <c:pt idx="3">
                  <c:v>0.687757909215956</c:v>
                </c:pt>
                <c:pt idx="4">
                  <c:v>0.710732054015636</c:v>
                </c:pt>
                <c:pt idx="5">
                  <c:v>0.734753857457752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56856"/>
        <c:axId val="-2080849528"/>
      </c:scatterChart>
      <c:valAx>
        <c:axId val="-208085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0849528"/>
        <c:crosses val="autoZero"/>
        <c:crossBetween val="midCat"/>
      </c:valAx>
      <c:valAx>
        <c:axId val="-2080849528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085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@105%VDD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Sheet3!$F$84:$K$84</c:f>
              <c:numCache>
                <c:formatCode>0.0000</c:formatCode>
                <c:ptCount val="6"/>
                <c:pt idx="0">
                  <c:v>0.4739336492891</c:v>
                </c:pt>
                <c:pt idx="1">
                  <c:v>0.608272506082725</c:v>
                </c:pt>
                <c:pt idx="2">
                  <c:v>0.666666666666667</c:v>
                </c:pt>
                <c:pt idx="3">
                  <c:v>0.713266761768902</c:v>
                </c:pt>
                <c:pt idx="4">
                  <c:v>0.766283524904215</c:v>
                </c:pt>
                <c:pt idx="5">
                  <c:v>0.801282051282051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Sheet3!$F$85:$K$85</c:f>
              <c:numCache>
                <c:formatCode>0.0000</c:formatCode>
                <c:ptCount val="6"/>
                <c:pt idx="0">
                  <c:v>0.510204081632653</c:v>
                </c:pt>
                <c:pt idx="1">
                  <c:v>0.606428138265615</c:v>
                </c:pt>
                <c:pt idx="2">
                  <c:v>0.652741514360313</c:v>
                </c:pt>
                <c:pt idx="3">
                  <c:v>0.699300699300699</c:v>
                </c:pt>
                <c:pt idx="4">
                  <c:v>0.744601638123604</c:v>
                </c:pt>
                <c:pt idx="5">
                  <c:v>0.777604976671851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Sheet3!$F$86:$K$86</c:f>
              <c:numCache>
                <c:formatCode>0.0000</c:formatCode>
                <c:ptCount val="6"/>
                <c:pt idx="0">
                  <c:v>0.548546352166758</c:v>
                </c:pt>
                <c:pt idx="1">
                  <c:v>0.618811881188119</c:v>
                </c:pt>
                <c:pt idx="2">
                  <c:v>0.655307994757536</c:v>
                </c:pt>
                <c:pt idx="3">
                  <c:v>0.696378830083565</c:v>
                </c:pt>
                <c:pt idx="4">
                  <c:v>0.733675715333822</c:v>
                </c:pt>
                <c:pt idx="5">
                  <c:v>0.763941940412529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Sheet3!$F$87:$K$87</c:f>
              <c:numCache>
                <c:formatCode>0.0000</c:formatCode>
                <c:ptCount val="6"/>
                <c:pt idx="0">
                  <c:v>0.619195046439628</c:v>
                </c:pt>
                <c:pt idx="1">
                  <c:v>0.656167979002625</c:v>
                </c:pt>
                <c:pt idx="2">
                  <c:v>0.677966101694915</c:v>
                </c:pt>
                <c:pt idx="3">
                  <c:v>0.706214689265537</c:v>
                </c:pt>
                <c:pt idx="4">
                  <c:v>0.732600732600732</c:v>
                </c:pt>
                <c:pt idx="5">
                  <c:v>0.755287009063444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93000"/>
        <c:axId val="-2080699464"/>
      </c:scatterChart>
      <c:valAx>
        <c:axId val="-207999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0699464"/>
        <c:crosses val="autoZero"/>
        <c:crossBetween val="midCat"/>
      </c:valAx>
      <c:valAx>
        <c:axId val="-2080699464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79993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Percentage vs Settling Time @110%VDD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Sheet3!$F$88:$K$88</c:f>
              <c:numCache>
                <c:formatCode>0.0000</c:formatCode>
                <c:ptCount val="6"/>
                <c:pt idx="0">
                  <c:v>0.488758553274682</c:v>
                </c:pt>
                <c:pt idx="1">
                  <c:v>0.625782227784731</c:v>
                </c:pt>
                <c:pt idx="2">
                  <c:v>0.684931506849315</c:v>
                </c:pt>
                <c:pt idx="3">
                  <c:v>0.733137829912023</c:v>
                </c:pt>
                <c:pt idx="4">
                  <c:v>0.78064012490242</c:v>
                </c:pt>
                <c:pt idx="5">
                  <c:v>0.814995925020375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Sheet3!$F$89:$K$89</c:f>
              <c:numCache>
                <c:formatCode>0.0000</c:formatCode>
                <c:ptCount val="6"/>
                <c:pt idx="0">
                  <c:v>0.523286237571952</c:v>
                </c:pt>
                <c:pt idx="1">
                  <c:v>0.622277535780958</c:v>
                </c:pt>
                <c:pt idx="2">
                  <c:v>0.669344042838019</c:v>
                </c:pt>
                <c:pt idx="3">
                  <c:v>0.715819613457409</c:v>
                </c:pt>
                <c:pt idx="4">
                  <c:v>0.760456273764259</c:v>
                </c:pt>
                <c:pt idx="5">
                  <c:v>0.792393026941363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Sheet3!$F$90:$K$90</c:f>
              <c:numCache>
                <c:formatCode>0.0000</c:formatCode>
                <c:ptCount val="6"/>
                <c:pt idx="0">
                  <c:v>0.559910414333707</c:v>
                </c:pt>
                <c:pt idx="1">
                  <c:v>0.632911392405063</c:v>
                </c:pt>
                <c:pt idx="2">
                  <c:v>0.669792364367046</c:v>
                </c:pt>
                <c:pt idx="3">
                  <c:v>0.710732054015636</c:v>
                </c:pt>
                <c:pt idx="4">
                  <c:v>0.748502994011976</c:v>
                </c:pt>
                <c:pt idx="5">
                  <c:v>0.777000777000777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Sheet3!$F$71:$K$71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Sheet3!$F$91:$K$91</c:f>
              <c:numCache>
                <c:formatCode>0.0000</c:formatCode>
                <c:ptCount val="6"/>
                <c:pt idx="0">
                  <c:v>0.628535512256442</c:v>
                </c:pt>
                <c:pt idx="1">
                  <c:v>0.667556742323097</c:v>
                </c:pt>
                <c:pt idx="2">
                  <c:v>0.689655172413793</c:v>
                </c:pt>
                <c:pt idx="3">
                  <c:v>0.719424460431655</c:v>
                </c:pt>
                <c:pt idx="4">
                  <c:v>0.745156482861401</c:v>
                </c:pt>
                <c:pt idx="5">
                  <c:v>0.766871165644172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957688"/>
        <c:axId val="-2086700600"/>
      </c:scatterChart>
      <c:valAx>
        <c:axId val="-208295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Settling Time (ns)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6700600"/>
        <c:crosses val="autoZero"/>
        <c:crossBetween val="midCat"/>
      </c:valAx>
      <c:valAx>
        <c:axId val="-2086700600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 Setting</a:t>
                </a:r>
                <a:r>
                  <a:rPr lang="en-US" sz="1200" baseline="0"/>
                  <a:t> Percentage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295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0.448028673835125</c:v>
                </c:pt>
                <c:pt idx="1">
                  <c:v>0.5587</c:v>
                </c:pt>
                <c:pt idx="2">
                  <c:v>0.654450261780105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1pF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0.479616306954436</c:v>
                </c:pt>
                <c:pt idx="1">
                  <c:v>0.558659217877095</c:v>
                </c:pt>
                <c:pt idx="2">
                  <c:v>0.636942675159236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2pF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0.533902829684997</c:v>
                </c:pt>
                <c:pt idx="1">
                  <c:v>0.593119810201661</c:v>
                </c:pt>
                <c:pt idx="2">
                  <c:v>0.64143681847338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0.608642726719416</c:v>
                </c:pt>
                <c:pt idx="1">
                  <c:v>0.638162093171666</c:v>
                </c:pt>
                <c:pt idx="2">
                  <c:v>0.669792364367046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42568"/>
        <c:axId val="-2081236808"/>
      </c:scatterChart>
      <c:valAx>
        <c:axId val="-2081242568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36808"/>
        <c:crosses val="autoZero"/>
        <c:crossBetween val="midCat"/>
      </c:valAx>
      <c:valAx>
        <c:axId val="-20812368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4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vs Time with</a:t>
            </a:r>
            <a:r>
              <a:rPr lang="en-US" baseline="0"/>
              <a:t> different Bitline Load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0pF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Sheet1!$B$37:$B$42</c:f>
              <c:numCache>
                <c:formatCode>General</c:formatCode>
                <c:ptCount val="6"/>
                <c:pt idx="0">
                  <c:v>0.448028673835125</c:v>
                </c:pt>
                <c:pt idx="1">
                  <c:v>0.5587</c:v>
                </c:pt>
                <c:pt idx="2">
                  <c:v>0.654450261780105</c:v>
                </c:pt>
                <c:pt idx="3">
                  <c:v>0.7097232079489</c:v>
                </c:pt>
                <c:pt idx="4">
                  <c:v>0.762195121951219</c:v>
                </c:pt>
                <c:pt idx="5">
                  <c:v>0.797448165869218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1pF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Sheet1!$C$37:$C$42</c:f>
              <c:numCache>
                <c:formatCode>General</c:formatCode>
                <c:ptCount val="6"/>
                <c:pt idx="0">
                  <c:v>0.479616306954436</c:v>
                </c:pt>
                <c:pt idx="1">
                  <c:v>0.558659217877095</c:v>
                </c:pt>
                <c:pt idx="2">
                  <c:v>0.636942675159236</c:v>
                </c:pt>
                <c:pt idx="3">
                  <c:v>0.69589422407794</c:v>
                </c:pt>
                <c:pt idx="4">
                  <c:v>0.740740740740741</c:v>
                </c:pt>
                <c:pt idx="5">
                  <c:v>0.773993808049535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2pF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Sheet1!$D$37:$D$42</c:f>
              <c:numCache>
                <c:formatCode>General</c:formatCode>
                <c:ptCount val="6"/>
                <c:pt idx="0">
                  <c:v>0.533902829684997</c:v>
                </c:pt>
                <c:pt idx="1">
                  <c:v>0.593119810201661</c:v>
                </c:pt>
                <c:pt idx="2">
                  <c:v>0.64143681847338</c:v>
                </c:pt>
                <c:pt idx="3">
                  <c:v>0.696864111498258</c:v>
                </c:pt>
                <c:pt idx="4">
                  <c:v>0.731528895391368</c:v>
                </c:pt>
                <c:pt idx="5">
                  <c:v>0.760456273764259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4pF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Sheet1!$E$37:$E$42</c:f>
              <c:numCache>
                <c:formatCode>General</c:formatCode>
                <c:ptCount val="6"/>
                <c:pt idx="0">
                  <c:v>0.608642726719416</c:v>
                </c:pt>
                <c:pt idx="1">
                  <c:v>0.638162093171666</c:v>
                </c:pt>
                <c:pt idx="2">
                  <c:v>0.669792364367046</c:v>
                </c:pt>
                <c:pt idx="3">
                  <c:v>0.706713780918728</c:v>
                </c:pt>
                <c:pt idx="4">
                  <c:v>0.730994152046783</c:v>
                </c:pt>
                <c:pt idx="5">
                  <c:v>0.75187969924812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066696"/>
        <c:axId val="-2081060872"/>
      </c:scatterChart>
      <c:valAx>
        <c:axId val="-208106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Settling</a:t>
                </a:r>
                <a:r>
                  <a:rPr lang="en-US" sz="1800" baseline="0"/>
                  <a:t> Time (ns)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060872"/>
        <c:crosses val="autoZero"/>
        <c:crossBetween val="midCat"/>
      </c:valAx>
      <c:valAx>
        <c:axId val="-208106087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Gain</a:t>
                </a:r>
                <a:r>
                  <a:rPr lang="en-US" sz="1800" baseline="0"/>
                  <a:t> (% settled)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066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0925509311336"/>
          <c:y val="0.0543884909123202"/>
          <c:w val="0.0744713160854893"/>
          <c:h val="0.2415989580249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1st Order</a:t>
            </a:r>
            <a:r>
              <a:rPr lang="en-US" baseline="0"/>
              <a:t> Partial Settling Gain vs Supply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Sheet2!$A$26:$A$30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Sheet2!$G$26:$G$30</c:f>
              <c:numCache>
                <c:formatCode>0.0000</c:formatCode>
                <c:ptCount val="5"/>
                <c:pt idx="0">
                  <c:v>0.514933058702369</c:v>
                </c:pt>
                <c:pt idx="1">
                  <c:v>0.555864369093941</c:v>
                </c:pt>
                <c:pt idx="2">
                  <c:v>0.586166471277843</c:v>
                </c:pt>
                <c:pt idx="3">
                  <c:v>0.608272506082725</c:v>
                </c:pt>
                <c:pt idx="4">
                  <c:v>0.625782227784731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Sheet2!$A$31:$A$35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Sheet2!$G$31:$G$35</c:f>
              <c:numCache>
                <c:formatCode>0.0000</c:formatCode>
                <c:ptCount val="5"/>
                <c:pt idx="0">
                  <c:v>0.513347022587269</c:v>
                </c:pt>
                <c:pt idx="1">
                  <c:v>0.555247084952804</c:v>
                </c:pt>
                <c:pt idx="2">
                  <c:v>0.585480093676815</c:v>
                </c:pt>
                <c:pt idx="3">
                  <c:v>0.606428138265615</c:v>
                </c:pt>
                <c:pt idx="4">
                  <c:v>0.622277535780958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Sheet2!$A$36:$A$40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Sheet2!$G$36:$G$40</c:f>
              <c:numCache>
                <c:formatCode>0.0000</c:formatCode>
                <c:ptCount val="5"/>
                <c:pt idx="0">
                  <c:v>0.528262017960909</c:v>
                </c:pt>
                <c:pt idx="1">
                  <c:v>0.570776255707763</c:v>
                </c:pt>
                <c:pt idx="2">
                  <c:v>0.600240096038415</c:v>
                </c:pt>
                <c:pt idx="3">
                  <c:v>0.618811881188119</c:v>
                </c:pt>
                <c:pt idx="4">
                  <c:v>0.632911392405063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Sheet2!$A$41:$A$45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Sheet2!$G$41:$G$45</c:f>
              <c:numCache>
                <c:formatCode>0.0000</c:formatCode>
                <c:ptCount val="5"/>
                <c:pt idx="0">
                  <c:v>0.567536889897843</c:v>
                </c:pt>
                <c:pt idx="1">
                  <c:v>0.612369871402327</c:v>
                </c:pt>
                <c:pt idx="2">
                  <c:v>0.640204865556978</c:v>
                </c:pt>
                <c:pt idx="3">
                  <c:v>0.656167979002625</c:v>
                </c:pt>
                <c:pt idx="4">
                  <c:v>0.667556742323097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37368"/>
        <c:axId val="2087729640"/>
      </c:scatterChart>
      <c:valAx>
        <c:axId val="-2080937368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Supply</a:t>
                </a:r>
                <a:r>
                  <a:rPr lang="en-US" sz="1200" baseline="0"/>
                  <a:t> Scaling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7729640"/>
        <c:crosses val="autoZero"/>
        <c:crossBetween val="midCat"/>
      </c:valAx>
      <c:valAx>
        <c:axId val="2087729640"/>
        <c:scaling>
          <c:orientation val="minMax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Partial</a:t>
                </a:r>
                <a:r>
                  <a:rPr lang="en-US" sz="1200" baseline="0"/>
                  <a:t> Settling 1st Order Gain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093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Input Referred</a:t>
            </a:r>
            <a:r>
              <a:rPr lang="en-US" baseline="0"/>
              <a:t> Differential Error vs Supply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Sheet2!$A$26:$A$30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Sheet2!$I$26:$I$30</c:f>
              <c:numCache>
                <c:formatCode>General</c:formatCode>
                <c:ptCount val="5"/>
                <c:pt idx="0">
                  <c:v>0.45637</c:v>
                </c:pt>
                <c:pt idx="1">
                  <c:v>0.46774</c:v>
                </c:pt>
                <c:pt idx="2">
                  <c:v>0.40091</c:v>
                </c:pt>
                <c:pt idx="3">
                  <c:v>0.39456</c:v>
                </c:pt>
                <c:pt idx="4">
                  <c:v>0.36754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Sheet2!$A$31:$A$35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Sheet2!$I$31:$I$35</c:f>
              <c:numCache>
                <c:formatCode>General</c:formatCode>
                <c:ptCount val="5"/>
                <c:pt idx="0">
                  <c:v>0.45778</c:v>
                </c:pt>
                <c:pt idx="1">
                  <c:v>0.41423</c:v>
                </c:pt>
                <c:pt idx="2">
                  <c:v>0.40138</c:v>
                </c:pt>
                <c:pt idx="3">
                  <c:v>0.37927</c:v>
                </c:pt>
                <c:pt idx="4">
                  <c:v>0.361575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Sheet2!$A$36:$A$40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Sheet2!$I$36:$I$40</c:f>
              <c:numCache>
                <c:formatCode>General</c:formatCode>
                <c:ptCount val="5"/>
                <c:pt idx="0">
                  <c:v>0.425925</c:v>
                </c:pt>
                <c:pt idx="1">
                  <c:v>0.40296</c:v>
                </c:pt>
                <c:pt idx="2">
                  <c:v>0.39151</c:v>
                </c:pt>
                <c:pt idx="3">
                  <c:v>0.37976</c:v>
                </c:pt>
                <c:pt idx="4">
                  <c:v>0.3792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Sheet2!$A$41:$A$45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Sheet2!$I$41:$I$45</c:f>
              <c:numCache>
                <c:formatCode>General</c:formatCode>
                <c:ptCount val="5"/>
                <c:pt idx="0">
                  <c:v>0.41407</c:v>
                </c:pt>
                <c:pt idx="1">
                  <c:v>0.39192</c:v>
                </c:pt>
                <c:pt idx="2">
                  <c:v>0.36707</c:v>
                </c:pt>
                <c:pt idx="3">
                  <c:v>0.36576</c:v>
                </c:pt>
                <c:pt idx="4">
                  <c:v>0.36701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26808"/>
        <c:axId val="-2079935896"/>
      </c:scatterChart>
      <c:valAx>
        <c:axId val="2125626808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Supply Scaling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9935896"/>
        <c:crosses val="autoZero"/>
        <c:crossBetween val="midCat"/>
      </c:valAx>
      <c:valAx>
        <c:axId val="-2079935896"/>
        <c:scaling>
          <c:orientation val="minMax"/>
          <c:min val="0.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Input</a:t>
                </a:r>
                <a:r>
                  <a:rPr lang="en-US" sz="1200" baseline="0"/>
                  <a:t> Referred differential Error(mV)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62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Input Referred</a:t>
            </a:r>
            <a:r>
              <a:rPr lang="en-US" baseline="0"/>
              <a:t> Readout Noise vs Supply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0pF BL Load</c:v>
          </c:tx>
          <c:xVal>
            <c:numRef>
              <c:f>Sheet2!$A$26:$A$30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Sheet2!$M$26:$M$30</c:f>
              <c:numCache>
                <c:formatCode>0.0000</c:formatCode>
                <c:ptCount val="5"/>
                <c:pt idx="0">
                  <c:v>0.50492</c:v>
                </c:pt>
                <c:pt idx="1">
                  <c:v>0.494725</c:v>
                </c:pt>
                <c:pt idx="2">
                  <c:v>0.45209</c:v>
                </c:pt>
                <c:pt idx="3">
                  <c:v>0.42744</c:v>
                </c:pt>
                <c:pt idx="4">
                  <c:v>0.41548</c:v>
                </c:pt>
              </c:numCache>
            </c:numRef>
          </c:yVal>
          <c:smooth val="1"/>
        </c:ser>
        <c:ser>
          <c:idx val="1"/>
          <c:order val="1"/>
          <c:tx>
            <c:v>1pF BL Load</c:v>
          </c:tx>
          <c:xVal>
            <c:numRef>
              <c:f>Sheet2!$A$31:$A$35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Sheet2!$M$31:$M$35</c:f>
              <c:numCache>
                <c:formatCode>0.0000</c:formatCode>
                <c:ptCount val="5"/>
                <c:pt idx="0">
                  <c:v>0.51622</c:v>
                </c:pt>
                <c:pt idx="1">
                  <c:v>0.477265</c:v>
                </c:pt>
                <c:pt idx="2">
                  <c:v>0.45262</c:v>
                </c:pt>
                <c:pt idx="3">
                  <c:v>0.42874</c:v>
                </c:pt>
                <c:pt idx="4">
                  <c:v>0.38568</c:v>
                </c:pt>
              </c:numCache>
            </c:numRef>
          </c:yVal>
          <c:smooth val="1"/>
        </c:ser>
        <c:ser>
          <c:idx val="2"/>
          <c:order val="2"/>
          <c:tx>
            <c:v>2pF BL Load</c:v>
          </c:tx>
          <c:xVal>
            <c:numRef>
              <c:f>Sheet2!$A$36:$A$40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Sheet2!$M$36:$M$40</c:f>
              <c:numCache>
                <c:formatCode>0.0000</c:formatCode>
                <c:ptCount val="5"/>
                <c:pt idx="0">
                  <c:v>0.49218</c:v>
                </c:pt>
                <c:pt idx="1">
                  <c:v>0.49056</c:v>
                </c:pt>
                <c:pt idx="2">
                  <c:v>0.44149</c:v>
                </c:pt>
                <c:pt idx="3">
                  <c:v>0.42016</c:v>
                </c:pt>
                <c:pt idx="4">
                  <c:v>0.3476</c:v>
                </c:pt>
              </c:numCache>
            </c:numRef>
          </c:yVal>
          <c:smooth val="1"/>
        </c:ser>
        <c:ser>
          <c:idx val="3"/>
          <c:order val="3"/>
          <c:tx>
            <c:v>4pF BL Load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Sheet2!$A$41:$A$45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1.0</c:v>
                </c:pt>
                <c:pt idx="3">
                  <c:v>1.05</c:v>
                </c:pt>
                <c:pt idx="4">
                  <c:v>1.1</c:v>
                </c:pt>
              </c:numCache>
            </c:numRef>
          </c:xVal>
          <c:yVal>
            <c:numRef>
              <c:f>Sheet2!$M$41:$M$45</c:f>
              <c:numCache>
                <c:formatCode>0.0000</c:formatCode>
                <c:ptCount val="5"/>
                <c:pt idx="0">
                  <c:v>0.481026</c:v>
                </c:pt>
                <c:pt idx="1">
                  <c:v>0.45724</c:v>
                </c:pt>
                <c:pt idx="2">
                  <c:v>0.44517</c:v>
                </c:pt>
                <c:pt idx="3">
                  <c:v>0.36576</c:v>
                </c:pt>
                <c:pt idx="4">
                  <c:v>0.36701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07416"/>
        <c:axId val="-2080961480"/>
      </c:scatterChart>
      <c:valAx>
        <c:axId val="-2080907416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Supply Scaling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0961480"/>
        <c:crosses val="autoZero"/>
        <c:crossBetween val="midCat"/>
      </c:valAx>
      <c:valAx>
        <c:axId val="-2080961480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Input Referred</a:t>
                </a:r>
                <a:r>
                  <a:rPr lang="en-US" sz="1200" baseline="0"/>
                  <a:t> Readout Noise(mV)</a:t>
                </a:r>
                <a:endParaRPr lang="en-US" sz="1200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090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Settling Percentage</a:t>
            </a:r>
            <a:r>
              <a:rPr lang="en-US" baseline="0"/>
              <a:t> vs Settling Time w 0pF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supply scale = 0.9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Sheet3!$F$2:$K$2</c:f>
              <c:numCache>
                <c:formatCode>0.0000</c:formatCode>
                <c:ptCount val="6"/>
                <c:pt idx="0">
                  <c:v>0.399042298483639</c:v>
                </c:pt>
                <c:pt idx="1">
                  <c:v>0.514933058702369</c:v>
                </c:pt>
                <c:pt idx="2">
                  <c:v>0.564652738565782</c:v>
                </c:pt>
                <c:pt idx="3">
                  <c:v>0.602046959662854</c:v>
                </c:pt>
                <c:pt idx="4">
                  <c:v>0.638162093171666</c:v>
                </c:pt>
                <c:pt idx="5">
                  <c:v>0.661375661375661</c:v>
                </c:pt>
              </c:numCache>
            </c:numRef>
          </c:yVal>
          <c:smooth val="1"/>
        </c:ser>
        <c:ser>
          <c:idx val="1"/>
          <c:order val="1"/>
          <c:tx>
            <c:v>Supply Scale = 0.95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Sheet3!$F$3:$K$3</c:f>
              <c:numCache>
                <c:formatCode>0.0000</c:formatCode>
                <c:ptCount val="6"/>
                <c:pt idx="0">
                  <c:v>0.431406384814495</c:v>
                </c:pt>
                <c:pt idx="1">
                  <c:v>0.555864369093941</c:v>
                </c:pt>
                <c:pt idx="2">
                  <c:v>0.61050061050061</c:v>
                </c:pt>
                <c:pt idx="3">
                  <c:v>0.65359477124183</c:v>
                </c:pt>
                <c:pt idx="4">
                  <c:v>0.69589422407794</c:v>
                </c:pt>
                <c:pt idx="5">
                  <c:v>0.736377025036819</c:v>
                </c:pt>
              </c:numCache>
            </c:numRef>
          </c:yVal>
          <c:smooth val="1"/>
        </c:ser>
        <c:ser>
          <c:idx val="2"/>
          <c:order val="2"/>
          <c:tx>
            <c:v>Supply Scale = 1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Sheet3!$F$4:$K$4</c:f>
              <c:numCache>
                <c:formatCode>0.0000</c:formatCode>
                <c:ptCount val="6"/>
                <c:pt idx="0">
                  <c:v>0.455788514129444</c:v>
                </c:pt>
                <c:pt idx="1">
                  <c:v>0.586166471277843</c:v>
                </c:pt>
                <c:pt idx="2">
                  <c:v>0.643500643500643</c:v>
                </c:pt>
                <c:pt idx="3">
                  <c:v>0.692041522491349</c:v>
                </c:pt>
                <c:pt idx="4">
                  <c:v>0.741839762611276</c:v>
                </c:pt>
                <c:pt idx="5">
                  <c:v>0.78064012490242</c:v>
                </c:pt>
              </c:numCache>
            </c:numRef>
          </c:yVal>
          <c:smooth val="1"/>
        </c:ser>
        <c:ser>
          <c:idx val="3"/>
          <c:order val="3"/>
          <c:tx>
            <c:v>Supply Scale = 1.05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Sheet3!$F$5:$K$5</c:f>
              <c:numCache>
                <c:formatCode>0.0000</c:formatCode>
                <c:ptCount val="6"/>
                <c:pt idx="0">
                  <c:v>0.4739336492891</c:v>
                </c:pt>
                <c:pt idx="1">
                  <c:v>0.608272506082725</c:v>
                </c:pt>
                <c:pt idx="2">
                  <c:v>0.666666666666667</c:v>
                </c:pt>
                <c:pt idx="3">
                  <c:v>0.713266761768902</c:v>
                </c:pt>
                <c:pt idx="4">
                  <c:v>0.766283524904215</c:v>
                </c:pt>
                <c:pt idx="5">
                  <c:v>0.801282051282051</c:v>
                </c:pt>
              </c:numCache>
            </c:numRef>
          </c:yVal>
          <c:smooth val="1"/>
        </c:ser>
        <c:ser>
          <c:idx val="4"/>
          <c:order val="4"/>
          <c:tx>
            <c:v>Supply Scale = 1.1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Sheet3!$F$6:$K$6</c:f>
              <c:numCache>
                <c:formatCode>0.0000</c:formatCode>
                <c:ptCount val="6"/>
                <c:pt idx="0">
                  <c:v>0.488758553274682</c:v>
                </c:pt>
                <c:pt idx="1">
                  <c:v>0.625782227784731</c:v>
                </c:pt>
                <c:pt idx="2">
                  <c:v>0.684931506849315</c:v>
                </c:pt>
                <c:pt idx="3">
                  <c:v>0.733137829912023</c:v>
                </c:pt>
                <c:pt idx="4">
                  <c:v>0.78064012490242</c:v>
                </c:pt>
                <c:pt idx="5">
                  <c:v>0.814995925020375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58568"/>
        <c:axId val="-2080997176"/>
      </c:scatterChart>
      <c:valAx>
        <c:axId val="-208125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0997176"/>
        <c:crosses val="autoZero"/>
        <c:crossBetween val="midCat"/>
      </c:valAx>
      <c:valAx>
        <c:axId val="-2080997176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1258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Settling Percentage</a:t>
            </a:r>
            <a:r>
              <a:rPr lang="en-US" baseline="0"/>
              <a:t> vs Settling Time w 1pF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supply scale = 0.9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Sheet3!$F$7:$K$7</c:f>
              <c:numCache>
                <c:formatCode>0.0000</c:formatCode>
                <c:ptCount val="6"/>
                <c:pt idx="0">
                  <c:v>0.429000429000429</c:v>
                </c:pt>
                <c:pt idx="1">
                  <c:v>0.513347022587269</c:v>
                </c:pt>
                <c:pt idx="2">
                  <c:v>0.552791597567717</c:v>
                </c:pt>
                <c:pt idx="3">
                  <c:v>0.591366055588409</c:v>
                </c:pt>
                <c:pt idx="4">
                  <c:v>0.623830318153462</c:v>
                </c:pt>
                <c:pt idx="5">
                  <c:v>0.646830530401035</c:v>
                </c:pt>
              </c:numCache>
            </c:numRef>
          </c:yVal>
          <c:smooth val="1"/>
        </c:ser>
        <c:ser>
          <c:idx val="1"/>
          <c:order val="1"/>
          <c:tx>
            <c:v>Supply Scale = 0.95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Sheet3!$F$8:$K$8</c:f>
              <c:numCache>
                <c:formatCode>0.0000</c:formatCode>
                <c:ptCount val="6"/>
                <c:pt idx="0">
                  <c:v>0.466417910447761</c:v>
                </c:pt>
                <c:pt idx="1">
                  <c:v>0.555247084952804</c:v>
                </c:pt>
                <c:pt idx="2">
                  <c:v>0.598802395209581</c:v>
                </c:pt>
                <c:pt idx="3">
                  <c:v>0.641848523748395</c:v>
                </c:pt>
                <c:pt idx="4">
                  <c:v>0.679347826086956</c:v>
                </c:pt>
                <c:pt idx="5">
                  <c:v>0.706214689265537</c:v>
                </c:pt>
              </c:numCache>
            </c:numRef>
          </c:yVal>
          <c:smooth val="1"/>
        </c:ser>
        <c:ser>
          <c:idx val="2"/>
          <c:order val="2"/>
          <c:tx>
            <c:v>Supply Scale = 1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Sheet3!$F$9:$K$9</c:f>
              <c:numCache>
                <c:formatCode>0.0000</c:formatCode>
                <c:ptCount val="6"/>
                <c:pt idx="0">
                  <c:v>0.493096646942801</c:v>
                </c:pt>
                <c:pt idx="1">
                  <c:v>0.585480093676815</c:v>
                </c:pt>
                <c:pt idx="2">
                  <c:v>0.630914826498423</c:v>
                </c:pt>
                <c:pt idx="3">
                  <c:v>0.6765899864682</c:v>
                </c:pt>
                <c:pt idx="4">
                  <c:v>0.718390804597701</c:v>
                </c:pt>
                <c:pt idx="5">
                  <c:v>0.755287009063444</c:v>
                </c:pt>
              </c:numCache>
            </c:numRef>
          </c:yVal>
          <c:smooth val="1"/>
        </c:ser>
        <c:ser>
          <c:idx val="3"/>
          <c:order val="3"/>
          <c:tx>
            <c:v>Supply Scale = 1.05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Sheet3!$F$10:$K$10</c:f>
              <c:numCache>
                <c:formatCode>0.0000</c:formatCode>
                <c:ptCount val="6"/>
                <c:pt idx="0">
                  <c:v>0.510204081632653</c:v>
                </c:pt>
                <c:pt idx="1">
                  <c:v>0.606428138265615</c:v>
                </c:pt>
                <c:pt idx="2">
                  <c:v>0.652741514360313</c:v>
                </c:pt>
                <c:pt idx="3">
                  <c:v>0.699300699300699</c:v>
                </c:pt>
                <c:pt idx="4">
                  <c:v>0.744601638123604</c:v>
                </c:pt>
                <c:pt idx="5">
                  <c:v>0.777604976671851</c:v>
                </c:pt>
              </c:numCache>
            </c:numRef>
          </c:yVal>
          <c:smooth val="1"/>
        </c:ser>
        <c:ser>
          <c:idx val="4"/>
          <c:order val="4"/>
          <c:tx>
            <c:v>Supply Scale = 1.1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Sheet3!$F$11:$K$11</c:f>
              <c:numCache>
                <c:formatCode>0.0000</c:formatCode>
                <c:ptCount val="6"/>
                <c:pt idx="0">
                  <c:v>0.523286237571952</c:v>
                </c:pt>
                <c:pt idx="1">
                  <c:v>0.622277535780958</c:v>
                </c:pt>
                <c:pt idx="2">
                  <c:v>0.669344042838019</c:v>
                </c:pt>
                <c:pt idx="3">
                  <c:v>0.715819613457409</c:v>
                </c:pt>
                <c:pt idx="4">
                  <c:v>0.760456273764259</c:v>
                </c:pt>
                <c:pt idx="5">
                  <c:v>0.792393026941363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227256"/>
        <c:axId val="-2085058088"/>
      </c:scatterChart>
      <c:valAx>
        <c:axId val="-208522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5058088"/>
        <c:crosses val="autoZero"/>
        <c:crossBetween val="midCat"/>
      </c:valAx>
      <c:valAx>
        <c:axId val="-2085058088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522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Settling Percentage</a:t>
            </a:r>
            <a:r>
              <a:rPr lang="en-US" baseline="0"/>
              <a:t> vs Settling Time w 2pF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supply scale = 0.9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Sheet3!$F$12:$K$12</c:f>
              <c:numCache>
                <c:formatCode>0.0000</c:formatCode>
                <c:ptCount val="6"/>
                <c:pt idx="0">
                  <c:v>0.465116279069767</c:v>
                </c:pt>
                <c:pt idx="1">
                  <c:v>0.528262017960909</c:v>
                </c:pt>
                <c:pt idx="2">
                  <c:v>0.560538116591928</c:v>
                </c:pt>
                <c:pt idx="3">
                  <c:v>0.595947556615018</c:v>
                </c:pt>
                <c:pt idx="4">
                  <c:v>0.625</c:v>
                </c:pt>
                <c:pt idx="5">
                  <c:v>0.647249190938511</c:v>
                </c:pt>
              </c:numCache>
            </c:numRef>
          </c:yVal>
          <c:smooth val="1"/>
        </c:ser>
        <c:ser>
          <c:idx val="1"/>
          <c:order val="1"/>
          <c:tx>
            <c:v>Supply Scale = 0.95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Sheet3!$F$13:$K$13</c:f>
              <c:numCache>
                <c:formatCode>0.0000</c:formatCode>
                <c:ptCount val="6"/>
                <c:pt idx="0">
                  <c:v>0.505561172901921</c:v>
                </c:pt>
                <c:pt idx="1">
                  <c:v>0.570776255707763</c:v>
                </c:pt>
                <c:pt idx="2">
                  <c:v>0.605326876513317</c:v>
                </c:pt>
                <c:pt idx="3">
                  <c:v>0.644745325596389</c:v>
                </c:pt>
                <c:pt idx="4">
                  <c:v>0.6765899864682</c:v>
                </c:pt>
                <c:pt idx="5">
                  <c:v>0.701262272089761</c:v>
                </c:pt>
              </c:numCache>
            </c:numRef>
          </c:yVal>
          <c:smooth val="1"/>
        </c:ser>
        <c:ser>
          <c:idx val="2"/>
          <c:order val="2"/>
          <c:tx>
            <c:v>Supply Scale = 1</c:v>
          </c:tx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Sheet3!$F$14:$K$14</c:f>
              <c:numCache>
                <c:formatCode>0.0000</c:formatCode>
                <c:ptCount val="6"/>
                <c:pt idx="0">
                  <c:v>0.53276505061268</c:v>
                </c:pt>
                <c:pt idx="1">
                  <c:v>0.600240096038415</c:v>
                </c:pt>
                <c:pt idx="2">
                  <c:v>0.636132315521628</c:v>
                </c:pt>
                <c:pt idx="3">
                  <c:v>0.6765899864682</c:v>
                </c:pt>
                <c:pt idx="4">
                  <c:v>0.710227272727273</c:v>
                </c:pt>
                <c:pt idx="5">
                  <c:v>0.742942050520059</c:v>
                </c:pt>
              </c:numCache>
            </c:numRef>
          </c:yVal>
          <c:smooth val="1"/>
        </c:ser>
        <c:ser>
          <c:idx val="3"/>
          <c:order val="3"/>
          <c:tx>
            <c:v>Supply Scale = 1.05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Sheet3!$F$15:$K$15</c:f>
              <c:numCache>
                <c:formatCode>0.0000</c:formatCode>
                <c:ptCount val="6"/>
                <c:pt idx="0">
                  <c:v>0.548546352166758</c:v>
                </c:pt>
                <c:pt idx="1">
                  <c:v>0.618811881188119</c:v>
                </c:pt>
                <c:pt idx="2">
                  <c:v>0.655307994757536</c:v>
                </c:pt>
                <c:pt idx="3">
                  <c:v>0.696378830083565</c:v>
                </c:pt>
                <c:pt idx="4">
                  <c:v>0.733675715333822</c:v>
                </c:pt>
                <c:pt idx="5">
                  <c:v>0.763941940412529</c:v>
                </c:pt>
              </c:numCache>
            </c:numRef>
          </c:yVal>
          <c:smooth val="1"/>
        </c:ser>
        <c:ser>
          <c:idx val="4"/>
          <c:order val="4"/>
          <c:tx>
            <c:v>Supply Scale = 1.1</c:v>
          </c:tx>
          <c:spPr>
            <a:ln>
              <a:solidFill>
                <a:srgbClr val="008000"/>
              </a:solidFill>
            </a:ln>
          </c:spPr>
          <c:marker>
            <c:spPr>
              <a:ln>
                <a:solidFill>
                  <a:srgbClr val="008000"/>
                </a:solidFill>
              </a:ln>
            </c:spPr>
          </c:marker>
          <c:xVal>
            <c:numRef>
              <c:f>Sheet3!$F$1:$K$1</c:f>
              <c:numCache>
                <c:formatCode>General</c:formatCode>
                <c:ptCount val="6"/>
                <c:pt idx="0">
                  <c:v>20.0</c:v>
                </c:pt>
                <c:pt idx="1">
                  <c:v>44.0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Sheet3!$F$16:$K$16</c:f>
              <c:numCache>
                <c:formatCode>0.0000</c:formatCode>
                <c:ptCount val="6"/>
                <c:pt idx="0">
                  <c:v>0.559910414333707</c:v>
                </c:pt>
                <c:pt idx="1">
                  <c:v>0.632911392405063</c:v>
                </c:pt>
                <c:pt idx="2">
                  <c:v>0.669792364367046</c:v>
                </c:pt>
                <c:pt idx="3">
                  <c:v>0.710732054015636</c:v>
                </c:pt>
                <c:pt idx="4">
                  <c:v>0.748502994011976</c:v>
                </c:pt>
                <c:pt idx="5">
                  <c:v>0.777000777000777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00712"/>
        <c:axId val="-2081192984"/>
      </c:scatterChart>
      <c:valAx>
        <c:axId val="-208120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1192984"/>
        <c:crosses val="autoZero"/>
        <c:crossBetween val="midCat"/>
      </c:valAx>
      <c:valAx>
        <c:axId val="-2081192984"/>
        <c:scaling>
          <c:orientation val="minMax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Settling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2081200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511174</xdr:colOff>
      <xdr:row>3</xdr:row>
      <xdr:rowOff>55562</xdr:rowOff>
    </xdr:from>
    <xdr:to>
      <xdr:col>21</xdr:col>
      <xdr:colOff>196849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11</xdr:row>
      <xdr:rowOff>9525</xdr:rowOff>
    </xdr:from>
    <xdr:to>
      <xdr:col>7</xdr:col>
      <xdr:colOff>406400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29</xdr:row>
      <xdr:rowOff>120650</xdr:rowOff>
    </xdr:from>
    <xdr:to>
      <xdr:col>17</xdr:col>
      <xdr:colOff>177800</xdr:colOff>
      <xdr:row>53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46</xdr:row>
      <xdr:rowOff>158750</xdr:rowOff>
    </xdr:from>
    <xdr:to>
      <xdr:col>6</xdr:col>
      <xdr:colOff>787400</xdr:colOff>
      <xdr:row>69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889000</xdr:colOff>
      <xdr:row>46</xdr:row>
      <xdr:rowOff>146050</xdr:rowOff>
    </xdr:from>
    <xdr:to>
      <xdr:col>14</xdr:col>
      <xdr:colOff>190500</xdr:colOff>
      <xdr:row>70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469900</xdr:colOff>
      <xdr:row>46</xdr:row>
      <xdr:rowOff>146050</xdr:rowOff>
    </xdr:from>
    <xdr:to>
      <xdr:col>21</xdr:col>
      <xdr:colOff>749300</xdr:colOff>
      <xdr:row>70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120650</xdr:rowOff>
    </xdr:from>
    <xdr:to>
      <xdr:col>7</xdr:col>
      <xdr:colOff>596900</xdr:colOff>
      <xdr:row>44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736600</xdr:colOff>
      <xdr:row>22</xdr:row>
      <xdr:rowOff>114300</xdr:rowOff>
    </xdr:from>
    <xdr:to>
      <xdr:col>16</xdr:col>
      <xdr:colOff>393700</xdr:colOff>
      <xdr:row>44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482600</xdr:colOff>
      <xdr:row>69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482600</xdr:colOff>
      <xdr:row>69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92</xdr:row>
      <xdr:rowOff>107950</xdr:rowOff>
    </xdr:from>
    <xdr:to>
      <xdr:col>8</xdr:col>
      <xdr:colOff>342900</xdr:colOff>
      <xdr:row>115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92</xdr:row>
      <xdr:rowOff>114300</xdr:rowOff>
    </xdr:from>
    <xdr:to>
      <xdr:col>17</xdr:col>
      <xdr:colOff>177800</xdr:colOff>
      <xdr:row>115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139700</xdr:colOff>
      <xdr:row>117</xdr:row>
      <xdr:rowOff>0</xdr:rowOff>
    </xdr:from>
    <xdr:to>
      <xdr:col>8</xdr:col>
      <xdr:colOff>317500</xdr:colOff>
      <xdr:row>139</xdr:row>
      <xdr:rowOff>158750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117</xdr:row>
      <xdr:rowOff>38100</xdr:rowOff>
    </xdr:from>
    <xdr:to>
      <xdr:col>17</xdr:col>
      <xdr:colOff>177800</xdr:colOff>
      <xdr:row>140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127000</xdr:colOff>
      <xdr:row>141</xdr:row>
      <xdr:rowOff>0</xdr:rowOff>
    </xdr:from>
    <xdr:to>
      <xdr:col>8</xdr:col>
      <xdr:colOff>304800</xdr:colOff>
      <xdr:row>163</xdr:row>
      <xdr:rowOff>158750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5" workbookViewId="0">
      <selection activeCell="D33" sqref="D33"/>
    </sheetView>
  </sheetViews>
  <sheetFormatPr baseColWidth="10" defaultColWidth="8.83203125" defaultRowHeight="14" x14ac:dyDescent="0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20</v>
      </c>
      <c r="B2">
        <f>1/2.232</f>
        <v>0.4480286738351254</v>
      </c>
      <c r="C2">
        <f>1/2.085</f>
        <v>0.47961630695443647</v>
      </c>
      <c r="D2">
        <f>1/1.873</f>
        <v>0.53390282968499736</v>
      </c>
      <c r="E2">
        <f>1/1.643</f>
        <v>0.60864272671941566</v>
      </c>
    </row>
    <row r="3" spans="1:10">
      <c r="A3">
        <v>40</v>
      </c>
      <c r="B3">
        <v>0.55869999999999997</v>
      </c>
      <c r="C3">
        <f>1/1.79</f>
        <v>0.55865921787709494</v>
      </c>
      <c r="D3">
        <f>1/1.686</f>
        <v>0.59311981020166071</v>
      </c>
      <c r="E3">
        <f>1/1.567</f>
        <v>0.63816209317166561</v>
      </c>
      <c r="G3">
        <f>(B3-B2)/(A3-A2)</f>
        <v>5.5335663082437285E-3</v>
      </c>
      <c r="H3">
        <f>(C3-C2)/(A3-A2)</f>
        <v>3.9521455461329234E-3</v>
      </c>
      <c r="I3">
        <f>(D3-D2)/(A3-A2)</f>
        <v>2.9608490258331678E-3</v>
      </c>
      <c r="J3">
        <f>(E3-E2)/(A3-A2)</f>
        <v>1.4759683226124975E-3</v>
      </c>
    </row>
    <row r="4" spans="1:10">
      <c r="A4">
        <v>60</v>
      </c>
      <c r="B4">
        <f>1/1.528</f>
        <v>0.65445026178010468</v>
      </c>
      <c r="C4">
        <f>1/1.57</f>
        <v>0.63694267515923564</v>
      </c>
      <c r="D4">
        <f>1/1.559</f>
        <v>0.64143681847338041</v>
      </c>
      <c r="E4">
        <f>1/1.493</f>
        <v>0.66979236436704614</v>
      </c>
      <c r="G4">
        <f>(B4-B3)/(A4-A3)</f>
        <v>4.7875130890052357E-3</v>
      </c>
      <c r="H4">
        <f>(C4-C3)/(A4-A3)</f>
        <v>3.9141728641070347E-3</v>
      </c>
      <c r="I4">
        <f>(D4-D3)/(A4-A3)</f>
        <v>2.4158504135859847E-3</v>
      </c>
      <c r="J4">
        <f>(E4-E3)/(A4-A3)</f>
        <v>1.5815135597690266E-3</v>
      </c>
    </row>
    <row r="6" spans="1:10">
      <c r="A6" t="s">
        <v>4</v>
      </c>
      <c r="B6" t="s">
        <v>0</v>
      </c>
      <c r="C6" t="s">
        <v>1</v>
      </c>
      <c r="D6" t="s">
        <v>2</v>
      </c>
      <c r="E6" t="s">
        <v>3</v>
      </c>
      <c r="F6" t="s">
        <v>5</v>
      </c>
      <c r="G6" t="s">
        <v>0</v>
      </c>
      <c r="H6" t="s">
        <v>1</v>
      </c>
      <c r="I6" t="s">
        <v>2</v>
      </c>
      <c r="J6" t="s">
        <v>3</v>
      </c>
    </row>
    <row r="7" spans="1:10">
      <c r="A7">
        <v>50</v>
      </c>
      <c r="B7">
        <f>1/1.566</f>
        <v>0.63856960408684549</v>
      </c>
      <c r="C7">
        <f>1/1.564</f>
        <v>0.63938618925831203</v>
      </c>
      <c r="D7">
        <f>1/1.536</f>
        <v>0.65104166666666663</v>
      </c>
      <c r="E7">
        <f>1/1.477</f>
        <v>0.6770480704129993</v>
      </c>
    </row>
    <row r="8" spans="1:10">
      <c r="A8">
        <v>75</v>
      </c>
      <c r="B8">
        <f>1/1.409</f>
        <v>0.70972320794889987</v>
      </c>
      <c r="C8">
        <f>1/1.437</f>
        <v>0.6958942240779401</v>
      </c>
      <c r="D8">
        <f>1/1.435</f>
        <v>0.69686411149825778</v>
      </c>
      <c r="E8">
        <f>1/1.415</f>
        <v>0.70671378091872794</v>
      </c>
      <c r="G8">
        <f>(B8-B7)/(A8-A7)</f>
        <v>2.8461441544821754E-3</v>
      </c>
      <c r="H8">
        <f>(C8-C7)/(A8-A7)</f>
        <v>2.260321392785123E-3</v>
      </c>
      <c r="I8">
        <f>(D8-D7)/(A8-A7)</f>
        <v>1.832897793263646E-3</v>
      </c>
      <c r="J8">
        <f>(E8-E7)/(A8-A7)</f>
        <v>1.1866284202291454E-3</v>
      </c>
    </row>
    <row r="9" spans="1:10">
      <c r="A9">
        <v>100</v>
      </c>
      <c r="B9">
        <f>1/1.312</f>
        <v>0.76219512195121952</v>
      </c>
      <c r="C9">
        <f>1/1.35</f>
        <v>0.7407407407407407</v>
      </c>
      <c r="D9">
        <f>1/1.367</f>
        <v>0.73152889539136801</v>
      </c>
      <c r="E9">
        <f>1/1.368</f>
        <v>0.73099415204678353</v>
      </c>
      <c r="G9">
        <f>(B9-B8)/(A9-A8)</f>
        <v>2.0988765600927859E-3</v>
      </c>
      <c r="H9">
        <f>(C9-C8)/(A9-A8)</f>
        <v>1.7938606665120237E-3</v>
      </c>
      <c r="I9">
        <f>(D9-D8)/(A9-A8)</f>
        <v>1.3865913557244091E-3</v>
      </c>
      <c r="J9">
        <f>(E9-E8)/(A9-A8)</f>
        <v>9.7121484512222359E-4</v>
      </c>
    </row>
    <row r="10" spans="1:10">
      <c r="A10">
        <v>125</v>
      </c>
      <c r="B10">
        <f>1/1.254</f>
        <v>0.79744816586921852</v>
      </c>
      <c r="C10">
        <f>1/1.292</f>
        <v>0.77399380804953555</v>
      </c>
      <c r="D10">
        <f>1/1.315</f>
        <v>0.76045627376425862</v>
      </c>
      <c r="E10">
        <f>1/1.33</f>
        <v>0.75187969924812026</v>
      </c>
      <c r="G10">
        <f>(B10-B9)/(A10-A9)</f>
        <v>1.4101217567199598E-3</v>
      </c>
      <c r="H10">
        <f>(C10-C9)/(A10-A9)</f>
        <v>1.3301226923517939E-3</v>
      </c>
      <c r="I10">
        <f>(D10-D9)/(A10-A9)</f>
        <v>1.1570951349156244E-3</v>
      </c>
      <c r="J10">
        <f>(E10-E9)/(A10-A9)</f>
        <v>8.3542188805346912E-4</v>
      </c>
    </row>
    <row r="36" spans="1:5">
      <c r="A36" t="s">
        <v>4</v>
      </c>
      <c r="B36" t="s">
        <v>0</v>
      </c>
      <c r="C36" t="s">
        <v>1</v>
      </c>
      <c r="D36" t="s">
        <v>2</v>
      </c>
      <c r="E36" t="s">
        <v>3</v>
      </c>
    </row>
    <row r="37" spans="1:5">
      <c r="A37">
        <v>20</v>
      </c>
      <c r="B37">
        <f>1/2.232</f>
        <v>0.4480286738351254</v>
      </c>
      <c r="C37">
        <f>1/2.085</f>
        <v>0.47961630695443647</v>
      </c>
      <c r="D37">
        <f>1/1.873</f>
        <v>0.53390282968499736</v>
      </c>
      <c r="E37">
        <f>1/1.643</f>
        <v>0.60864272671941566</v>
      </c>
    </row>
    <row r="38" spans="1:5">
      <c r="A38">
        <v>40</v>
      </c>
      <c r="B38">
        <v>0.55869999999999997</v>
      </c>
      <c r="C38">
        <f>1/1.79</f>
        <v>0.55865921787709494</v>
      </c>
      <c r="D38">
        <f>1/1.686</f>
        <v>0.59311981020166071</v>
      </c>
      <c r="E38">
        <f>1/1.567</f>
        <v>0.63816209317166561</v>
      </c>
    </row>
    <row r="39" spans="1:5">
      <c r="A39">
        <v>60</v>
      </c>
      <c r="B39">
        <f>1/1.528</f>
        <v>0.65445026178010468</v>
      </c>
      <c r="C39">
        <f>1/1.57</f>
        <v>0.63694267515923564</v>
      </c>
      <c r="D39">
        <f>1/1.559</f>
        <v>0.64143681847338041</v>
      </c>
      <c r="E39">
        <f>1/1.493</f>
        <v>0.66979236436704614</v>
      </c>
    </row>
    <row r="40" spans="1:5">
      <c r="A40">
        <v>75</v>
      </c>
      <c r="B40">
        <f>1/1.409</f>
        <v>0.70972320794889987</v>
      </c>
      <c r="C40">
        <f>1/1.437</f>
        <v>0.6958942240779401</v>
      </c>
      <c r="D40">
        <f>1/1.435</f>
        <v>0.69686411149825778</v>
      </c>
      <c r="E40">
        <f>1/1.415</f>
        <v>0.70671378091872794</v>
      </c>
    </row>
    <row r="41" spans="1:5">
      <c r="A41">
        <v>100</v>
      </c>
      <c r="B41">
        <f>1/1.312</f>
        <v>0.76219512195121952</v>
      </c>
      <c r="C41">
        <f>1/1.35</f>
        <v>0.7407407407407407</v>
      </c>
      <c r="D41">
        <f>1/1.367</f>
        <v>0.73152889539136801</v>
      </c>
      <c r="E41">
        <f>1/1.368</f>
        <v>0.73099415204678353</v>
      </c>
    </row>
    <row r="42" spans="1:5">
      <c r="A42">
        <v>125</v>
      </c>
      <c r="B42">
        <f>1/1.254</f>
        <v>0.79744816586921852</v>
      </c>
      <c r="C42">
        <f>1/1.292</f>
        <v>0.77399380804953555</v>
      </c>
      <c r="D42">
        <f>1/1.315</f>
        <v>0.76045627376425862</v>
      </c>
      <c r="E42">
        <f>1/1.33</f>
        <v>0.75187969924812026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14" workbookViewId="0">
      <selection activeCell="H26" sqref="H26"/>
    </sheetView>
  </sheetViews>
  <sheetFormatPr baseColWidth="10" defaultRowHeight="14" x14ac:dyDescent="0"/>
  <cols>
    <col min="5" max="5" width="10.5" customWidth="1"/>
    <col min="6" max="6" width="17" customWidth="1"/>
    <col min="7" max="7" width="12.6640625" customWidth="1"/>
    <col min="8" max="8" width="15.1640625" customWidth="1"/>
    <col min="9" max="9" width="13.5" customWidth="1"/>
    <col min="11" max="11" width="13" customWidth="1"/>
    <col min="13" max="13" width="14.5" customWidth="1"/>
  </cols>
  <sheetData>
    <row r="1" spans="1:13">
      <c r="A1" t="s">
        <v>6</v>
      </c>
    </row>
    <row r="2" spans="1:13" ht="29" customHeight="1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19</v>
      </c>
      <c r="H2" s="2" t="s">
        <v>13</v>
      </c>
      <c r="I2" s="1" t="s">
        <v>18</v>
      </c>
      <c r="J2" s="1" t="s">
        <v>14</v>
      </c>
      <c r="K2" s="2" t="s">
        <v>16</v>
      </c>
      <c r="L2" s="2" t="s">
        <v>15</v>
      </c>
      <c r="M2" s="2" t="s">
        <v>17</v>
      </c>
    </row>
    <row r="3" spans="1:13">
      <c r="A3">
        <v>0.9</v>
      </c>
      <c r="B3">
        <f>1.8*A3</f>
        <v>1.62</v>
      </c>
      <c r="C3">
        <f>3.3*A3</f>
        <v>2.9699999999999998</v>
      </c>
      <c r="D3">
        <f>3.2*A3</f>
        <v>2.8800000000000003</v>
      </c>
      <c r="E3" t="s">
        <v>0</v>
      </c>
      <c r="F3">
        <v>1.9419999999999999</v>
      </c>
      <c r="G3" s="16">
        <f>1/F3</f>
        <v>0.51493305870236872</v>
      </c>
      <c r="H3">
        <v>0.23499999999999999</v>
      </c>
      <c r="I3">
        <f t="shared" ref="I3:I22" si="0">H3*F3</f>
        <v>0.45636999999999994</v>
      </c>
      <c r="J3">
        <v>0.215</v>
      </c>
      <c r="K3" s="16">
        <f t="shared" ref="K3:K22" si="1">J3*F3</f>
        <v>0.41752999999999996</v>
      </c>
      <c r="L3" s="18">
        <v>0.26</v>
      </c>
      <c r="M3" s="16">
        <f t="shared" ref="M3:M22" si="2">L3*F3</f>
        <v>0.50492000000000004</v>
      </c>
    </row>
    <row r="4" spans="1:13">
      <c r="E4" t="s">
        <v>1</v>
      </c>
      <c r="F4">
        <v>1.948</v>
      </c>
      <c r="G4" s="16">
        <f t="shared" ref="G4:G22" si="3">1/F4</f>
        <v>0.51334702258726905</v>
      </c>
      <c r="H4">
        <v>0.23499999999999999</v>
      </c>
      <c r="I4">
        <f t="shared" si="0"/>
        <v>0.45777999999999996</v>
      </c>
      <c r="J4">
        <v>0.185</v>
      </c>
      <c r="K4" s="16">
        <f t="shared" si="1"/>
        <v>0.36037999999999998</v>
      </c>
      <c r="L4" s="18">
        <v>0.26500000000000001</v>
      </c>
      <c r="M4" s="16">
        <f t="shared" si="2"/>
        <v>0.51622000000000001</v>
      </c>
    </row>
    <row r="5" spans="1:13">
      <c r="E5" t="s">
        <v>2</v>
      </c>
      <c r="F5">
        <v>1.893</v>
      </c>
      <c r="G5" s="16">
        <f t="shared" si="3"/>
        <v>0.52826201796090866</v>
      </c>
      <c r="H5">
        <v>0.22500000000000001</v>
      </c>
      <c r="I5">
        <f t="shared" si="0"/>
        <v>0.425925</v>
      </c>
      <c r="J5">
        <v>0.255</v>
      </c>
      <c r="K5" s="16">
        <f t="shared" si="1"/>
        <v>0.48271500000000001</v>
      </c>
      <c r="L5" s="18">
        <v>0.26</v>
      </c>
      <c r="M5" s="16">
        <f t="shared" si="2"/>
        <v>0.49218000000000001</v>
      </c>
    </row>
    <row r="6" spans="1:13">
      <c r="E6" t="s">
        <v>3</v>
      </c>
      <c r="F6">
        <v>1.762</v>
      </c>
      <c r="G6" s="16">
        <f t="shared" si="3"/>
        <v>0.56753688989784334</v>
      </c>
      <c r="H6">
        <v>0.23499999999999999</v>
      </c>
      <c r="I6">
        <f t="shared" si="0"/>
        <v>0.41406999999999999</v>
      </c>
      <c r="J6">
        <v>0.28499999999999998</v>
      </c>
      <c r="K6" s="16">
        <f t="shared" si="1"/>
        <v>0.50217000000000001</v>
      </c>
      <c r="L6" s="18">
        <v>0.27300000000000002</v>
      </c>
      <c r="M6" s="16">
        <f t="shared" si="2"/>
        <v>0.48102600000000006</v>
      </c>
    </row>
    <row r="7" spans="1:13">
      <c r="A7">
        <v>0.95</v>
      </c>
      <c r="B7">
        <f t="shared" ref="B7:B11" si="4">1.8*A7</f>
        <v>1.71</v>
      </c>
      <c r="C7">
        <f t="shared" ref="C7:C11" si="5">3.3*A7</f>
        <v>3.1349999999999998</v>
      </c>
      <c r="D7">
        <f t="shared" ref="D7:D11" si="6">3.2*A7</f>
        <v>3.04</v>
      </c>
      <c r="E7" t="s">
        <v>0</v>
      </c>
      <c r="F7">
        <v>1.7989999999999999</v>
      </c>
      <c r="G7" s="16">
        <f t="shared" si="3"/>
        <v>0.5558643690939411</v>
      </c>
      <c r="H7">
        <v>0.23</v>
      </c>
      <c r="I7">
        <f t="shared" si="0"/>
        <v>0.41377000000000003</v>
      </c>
      <c r="J7">
        <v>0.26</v>
      </c>
      <c r="K7" s="16">
        <f t="shared" si="1"/>
        <v>0.46773999999999999</v>
      </c>
      <c r="L7" s="18">
        <v>0.27500000000000002</v>
      </c>
      <c r="M7" s="16">
        <f t="shared" si="2"/>
        <v>0.49472500000000003</v>
      </c>
    </row>
    <row r="8" spans="1:13">
      <c r="E8" t="s">
        <v>1</v>
      </c>
      <c r="F8">
        <v>1.8009999999999999</v>
      </c>
      <c r="G8" s="16">
        <f t="shared" si="3"/>
        <v>0.55524708495280406</v>
      </c>
      <c r="H8">
        <v>0.23</v>
      </c>
      <c r="I8">
        <f t="shared" si="0"/>
        <v>0.41422999999999999</v>
      </c>
      <c r="J8">
        <v>0.24</v>
      </c>
      <c r="K8" s="16">
        <f t="shared" si="1"/>
        <v>0.43223999999999996</v>
      </c>
      <c r="L8" s="18">
        <v>0.26500000000000001</v>
      </c>
      <c r="M8" s="16">
        <f t="shared" si="2"/>
        <v>0.47726499999999999</v>
      </c>
    </row>
    <row r="9" spans="1:13">
      <c r="E9" t="s">
        <v>2</v>
      </c>
      <c r="F9">
        <v>1.752</v>
      </c>
      <c r="G9" s="16">
        <f t="shared" si="3"/>
        <v>0.57077625570776258</v>
      </c>
      <c r="H9">
        <v>0.23</v>
      </c>
      <c r="I9">
        <f t="shared" si="0"/>
        <v>0.40296000000000004</v>
      </c>
      <c r="J9">
        <v>0.26500000000000001</v>
      </c>
      <c r="K9" s="16">
        <f t="shared" si="1"/>
        <v>0.46428000000000003</v>
      </c>
      <c r="L9" s="18">
        <v>0.28000000000000003</v>
      </c>
      <c r="M9" s="16">
        <f t="shared" si="2"/>
        <v>0.49056000000000005</v>
      </c>
    </row>
    <row r="10" spans="1:13">
      <c r="E10" t="s">
        <v>3</v>
      </c>
      <c r="F10">
        <v>1.633</v>
      </c>
      <c r="G10" s="16">
        <f t="shared" si="3"/>
        <v>0.61236987140232702</v>
      </c>
      <c r="H10">
        <v>0.24</v>
      </c>
      <c r="I10">
        <f t="shared" si="0"/>
        <v>0.39191999999999999</v>
      </c>
      <c r="J10">
        <v>0.25</v>
      </c>
      <c r="K10" s="16">
        <f t="shared" si="1"/>
        <v>0.40825</v>
      </c>
      <c r="L10" s="18">
        <v>0.28000000000000003</v>
      </c>
      <c r="M10" s="16">
        <f t="shared" si="2"/>
        <v>0.45724000000000004</v>
      </c>
    </row>
    <row r="11" spans="1:13">
      <c r="A11">
        <v>1</v>
      </c>
      <c r="B11">
        <f t="shared" si="4"/>
        <v>1.8</v>
      </c>
      <c r="C11">
        <f t="shared" si="5"/>
        <v>3.3</v>
      </c>
      <c r="D11">
        <f t="shared" si="6"/>
        <v>3.2</v>
      </c>
      <c r="E11" t="s">
        <v>0</v>
      </c>
      <c r="F11">
        <v>1.706</v>
      </c>
      <c r="G11" s="16">
        <f t="shared" si="3"/>
        <v>0.58616647127784294</v>
      </c>
      <c r="H11">
        <v>0.23499999999999999</v>
      </c>
      <c r="I11">
        <f t="shared" si="0"/>
        <v>0.40090999999999999</v>
      </c>
      <c r="J11">
        <v>0.25</v>
      </c>
      <c r="K11" s="16">
        <f t="shared" si="1"/>
        <v>0.42649999999999999</v>
      </c>
      <c r="L11" s="18">
        <v>0.26500000000000001</v>
      </c>
      <c r="M11" s="16">
        <f t="shared" si="2"/>
        <v>0.45208999999999999</v>
      </c>
    </row>
    <row r="12" spans="1:13">
      <c r="E12" t="s">
        <v>1</v>
      </c>
      <c r="F12">
        <v>1.708</v>
      </c>
      <c r="G12" s="16">
        <f t="shared" si="3"/>
        <v>0.58548009367681497</v>
      </c>
      <c r="H12">
        <v>0.23499999999999999</v>
      </c>
      <c r="I12">
        <f t="shared" si="0"/>
        <v>0.40137999999999996</v>
      </c>
      <c r="J12">
        <v>0.23499999999999999</v>
      </c>
      <c r="K12" s="16">
        <f t="shared" si="1"/>
        <v>0.40137999999999996</v>
      </c>
      <c r="L12" s="18">
        <v>0.26500000000000001</v>
      </c>
      <c r="M12" s="16">
        <f t="shared" si="2"/>
        <v>0.45262000000000002</v>
      </c>
    </row>
    <row r="13" spans="1:13">
      <c r="E13" t="s">
        <v>2</v>
      </c>
      <c r="F13">
        <v>1.6659999999999999</v>
      </c>
      <c r="G13" s="16">
        <f t="shared" si="3"/>
        <v>0.60024009603841544</v>
      </c>
      <c r="H13">
        <v>0.23499999999999999</v>
      </c>
      <c r="I13">
        <f t="shared" si="0"/>
        <v>0.39150999999999997</v>
      </c>
      <c r="J13">
        <v>0.26</v>
      </c>
      <c r="K13" s="16">
        <f t="shared" si="1"/>
        <v>0.43315999999999999</v>
      </c>
      <c r="L13" s="18">
        <v>0.26500000000000001</v>
      </c>
      <c r="M13" s="16">
        <f t="shared" si="2"/>
        <v>0.44148999999999999</v>
      </c>
    </row>
    <row r="14" spans="1:13">
      <c r="E14" t="s">
        <v>3</v>
      </c>
      <c r="F14">
        <v>1.5620000000000001</v>
      </c>
      <c r="G14" s="16">
        <f t="shared" si="3"/>
        <v>0.6402048655569782</v>
      </c>
      <c r="H14">
        <v>0.23499999999999999</v>
      </c>
      <c r="I14">
        <f t="shared" si="0"/>
        <v>0.36707000000000001</v>
      </c>
      <c r="J14">
        <v>0.255</v>
      </c>
      <c r="K14" s="16">
        <f t="shared" si="1"/>
        <v>0.39831</v>
      </c>
      <c r="L14" s="18">
        <v>0.28499999999999998</v>
      </c>
      <c r="M14" s="16">
        <f t="shared" si="2"/>
        <v>0.44516999999999995</v>
      </c>
    </row>
    <row r="15" spans="1:13">
      <c r="A15">
        <v>1.05</v>
      </c>
      <c r="B15">
        <f>1.8*A15</f>
        <v>1.8900000000000001</v>
      </c>
      <c r="C15">
        <f>3.3*A15</f>
        <v>3.4649999999999999</v>
      </c>
      <c r="D15">
        <f>3.2*A15</f>
        <v>3.3600000000000003</v>
      </c>
      <c r="E15" t="s">
        <v>0</v>
      </c>
      <c r="F15">
        <v>1.6439999999999999</v>
      </c>
      <c r="G15" s="16">
        <f t="shared" si="3"/>
        <v>0.6082725060827251</v>
      </c>
      <c r="H15">
        <v>0.24</v>
      </c>
      <c r="I15">
        <f t="shared" si="0"/>
        <v>0.39455999999999997</v>
      </c>
      <c r="J15">
        <v>0.26</v>
      </c>
      <c r="K15" s="16">
        <f t="shared" si="1"/>
        <v>0.42743999999999999</v>
      </c>
      <c r="L15" s="18">
        <v>0.26</v>
      </c>
      <c r="M15" s="16">
        <f t="shared" si="2"/>
        <v>0.42743999999999999</v>
      </c>
    </row>
    <row r="16" spans="1:13">
      <c r="E16" t="s">
        <v>1</v>
      </c>
      <c r="F16">
        <v>1.649</v>
      </c>
      <c r="G16" s="16">
        <f t="shared" si="3"/>
        <v>0.60642813826561548</v>
      </c>
      <c r="H16">
        <v>0.23</v>
      </c>
      <c r="I16">
        <f t="shared" si="0"/>
        <v>0.37927</v>
      </c>
      <c r="J16">
        <v>0.245</v>
      </c>
      <c r="K16" s="16">
        <f t="shared" si="1"/>
        <v>0.404005</v>
      </c>
      <c r="L16" s="18">
        <v>0.26</v>
      </c>
      <c r="M16" s="16">
        <f t="shared" si="2"/>
        <v>0.42874000000000001</v>
      </c>
    </row>
    <row r="17" spans="1:14">
      <c r="E17" t="s">
        <v>2</v>
      </c>
      <c r="F17">
        <v>1.6160000000000001</v>
      </c>
      <c r="G17" s="16">
        <f t="shared" si="3"/>
        <v>0.61881188118811881</v>
      </c>
      <c r="H17">
        <v>0.23499999999999999</v>
      </c>
      <c r="I17">
        <f t="shared" si="0"/>
        <v>0.37975999999999999</v>
      </c>
      <c r="J17">
        <v>0.26</v>
      </c>
      <c r="K17" s="16">
        <f t="shared" si="1"/>
        <v>0.42016000000000003</v>
      </c>
      <c r="L17" s="18">
        <v>0.26</v>
      </c>
      <c r="M17" s="16">
        <f t="shared" si="2"/>
        <v>0.42016000000000003</v>
      </c>
    </row>
    <row r="18" spans="1:14">
      <c r="E18" t="s">
        <v>3</v>
      </c>
      <c r="F18">
        <v>1.524</v>
      </c>
      <c r="G18" s="16">
        <f t="shared" si="3"/>
        <v>0.65616797900262469</v>
      </c>
      <c r="H18">
        <v>0.24</v>
      </c>
      <c r="I18">
        <f t="shared" si="0"/>
        <v>0.36575999999999997</v>
      </c>
      <c r="J18">
        <v>0.25</v>
      </c>
      <c r="K18" s="16">
        <f t="shared" si="1"/>
        <v>0.38100000000000001</v>
      </c>
      <c r="L18" s="18">
        <v>0.24</v>
      </c>
      <c r="M18" s="16">
        <f t="shared" si="2"/>
        <v>0.36575999999999997</v>
      </c>
    </row>
    <row r="19" spans="1:14">
      <c r="A19">
        <v>1.1000000000000001</v>
      </c>
      <c r="B19">
        <f>1.8*A19</f>
        <v>1.9800000000000002</v>
      </c>
      <c r="C19">
        <f>3.3*A19</f>
        <v>3.63</v>
      </c>
      <c r="D19">
        <f>3.2*A19</f>
        <v>3.5200000000000005</v>
      </c>
      <c r="E19" t="s">
        <v>0</v>
      </c>
      <c r="F19">
        <v>1.5980000000000001</v>
      </c>
      <c r="G19" s="16">
        <f t="shared" si="3"/>
        <v>0.62578222778473092</v>
      </c>
      <c r="H19">
        <v>0.23</v>
      </c>
      <c r="I19">
        <f t="shared" si="0"/>
        <v>0.36754000000000003</v>
      </c>
      <c r="J19">
        <v>0.28000000000000003</v>
      </c>
      <c r="K19" s="16">
        <f t="shared" si="1"/>
        <v>0.44744000000000006</v>
      </c>
      <c r="L19" s="18">
        <v>0.26</v>
      </c>
      <c r="M19" s="16">
        <f t="shared" si="2"/>
        <v>0.41548000000000002</v>
      </c>
    </row>
    <row r="20" spans="1:14">
      <c r="E20" t="s">
        <v>1</v>
      </c>
      <c r="F20">
        <v>1.607</v>
      </c>
      <c r="G20" s="16">
        <f t="shared" si="3"/>
        <v>0.62227753578095835</v>
      </c>
      <c r="H20">
        <v>0.22500000000000001</v>
      </c>
      <c r="I20">
        <f t="shared" si="0"/>
        <v>0.36157499999999998</v>
      </c>
      <c r="J20">
        <v>0.26</v>
      </c>
      <c r="K20" s="16">
        <f t="shared" si="1"/>
        <v>0.41782000000000002</v>
      </c>
      <c r="L20" s="18">
        <v>0.24</v>
      </c>
      <c r="M20" s="16">
        <f t="shared" si="2"/>
        <v>0.38567999999999997</v>
      </c>
    </row>
    <row r="21" spans="1:14">
      <c r="E21" t="s">
        <v>2</v>
      </c>
      <c r="F21">
        <v>1.58</v>
      </c>
      <c r="G21" s="16">
        <f t="shared" si="3"/>
        <v>0.63291139240506322</v>
      </c>
      <c r="H21">
        <v>0.24</v>
      </c>
      <c r="I21">
        <f t="shared" si="0"/>
        <v>0.37919999999999998</v>
      </c>
      <c r="J21">
        <v>0.26</v>
      </c>
      <c r="K21" s="16">
        <f t="shared" si="1"/>
        <v>0.41080000000000005</v>
      </c>
      <c r="L21" s="18">
        <v>0.22</v>
      </c>
      <c r="M21" s="16">
        <f t="shared" si="2"/>
        <v>0.34760000000000002</v>
      </c>
    </row>
    <row r="22" spans="1:14">
      <c r="E22" t="s">
        <v>3</v>
      </c>
      <c r="F22">
        <v>1.498</v>
      </c>
      <c r="G22" s="16">
        <f t="shared" si="3"/>
        <v>0.66755674232309747</v>
      </c>
      <c r="H22">
        <v>0.245</v>
      </c>
      <c r="I22">
        <f t="shared" si="0"/>
        <v>0.36701</v>
      </c>
      <c r="J22">
        <v>0.24</v>
      </c>
      <c r="K22" s="16">
        <f t="shared" si="1"/>
        <v>0.35952000000000001</v>
      </c>
      <c r="L22" s="18">
        <v>0.245</v>
      </c>
      <c r="M22" s="16">
        <f t="shared" si="2"/>
        <v>0.36701</v>
      </c>
    </row>
    <row r="25" spans="1:14" ht="28">
      <c r="A25" s="2" t="s">
        <v>7</v>
      </c>
      <c r="B25" s="2" t="s">
        <v>8</v>
      </c>
      <c r="C25" s="2" t="s">
        <v>9</v>
      </c>
      <c r="D25" s="2" t="s">
        <v>10</v>
      </c>
      <c r="E25" s="2" t="s">
        <v>11</v>
      </c>
      <c r="F25" s="2" t="s">
        <v>12</v>
      </c>
      <c r="G25" s="2" t="s">
        <v>19</v>
      </c>
      <c r="H25" s="2" t="s">
        <v>13</v>
      </c>
      <c r="I25" s="1" t="s">
        <v>18</v>
      </c>
      <c r="J25" s="1" t="s">
        <v>14</v>
      </c>
      <c r="K25" s="2" t="s">
        <v>16</v>
      </c>
      <c r="L25" s="2" t="s">
        <v>15</v>
      </c>
      <c r="M25" s="2" t="s">
        <v>17</v>
      </c>
    </row>
    <row r="26" spans="1:14">
      <c r="A26" s="3">
        <v>0.9</v>
      </c>
      <c r="B26" s="3">
        <f>1.8*A26</f>
        <v>1.62</v>
      </c>
      <c r="C26" s="3">
        <f>3.3*A26</f>
        <v>2.9699999999999998</v>
      </c>
      <c r="D26" s="3">
        <f>3.2*A26</f>
        <v>2.8800000000000003</v>
      </c>
      <c r="E26" s="3" t="s">
        <v>0</v>
      </c>
      <c r="F26" s="3">
        <v>1.9419999999999999</v>
      </c>
      <c r="G26" s="8">
        <f>1/F26</f>
        <v>0.51493305870236872</v>
      </c>
      <c r="H26" s="3">
        <v>0.23499999999999999</v>
      </c>
      <c r="I26" s="3">
        <f t="shared" ref="I26:I45" si="7">H26*F26</f>
        <v>0.45636999999999994</v>
      </c>
      <c r="J26" s="3">
        <v>0.215</v>
      </c>
      <c r="K26" s="8">
        <f t="shared" ref="K26:K45" si="8">J26*F26</f>
        <v>0.41752999999999996</v>
      </c>
      <c r="L26" s="3">
        <v>0.26</v>
      </c>
      <c r="M26" s="8">
        <f t="shared" ref="M26:M45" si="9">L26*F26</f>
        <v>0.50492000000000004</v>
      </c>
    </row>
    <row r="27" spans="1:14">
      <c r="A27" s="3">
        <v>0.95</v>
      </c>
      <c r="B27" s="3">
        <f t="shared" ref="B27:B28" si="10">1.8*A27</f>
        <v>1.71</v>
      </c>
      <c r="C27" s="3">
        <f t="shared" ref="C27:C28" si="11">3.3*A27</f>
        <v>3.1349999999999998</v>
      </c>
      <c r="D27" s="3">
        <f t="shared" ref="D27:D28" si="12">3.2*A27</f>
        <v>3.04</v>
      </c>
      <c r="E27" s="3" t="s">
        <v>0</v>
      </c>
      <c r="F27" s="3">
        <v>1.7989999999999999</v>
      </c>
      <c r="G27" s="8">
        <f t="shared" ref="G27:G45" si="13">1/F27</f>
        <v>0.5558643690939411</v>
      </c>
      <c r="H27" s="3">
        <v>0.26</v>
      </c>
      <c r="I27" s="3">
        <f t="shared" si="7"/>
        <v>0.46773999999999999</v>
      </c>
      <c r="J27" s="3">
        <v>0.26</v>
      </c>
      <c r="K27" s="8">
        <f t="shared" si="8"/>
        <v>0.46773999999999999</v>
      </c>
      <c r="L27" s="3">
        <v>0.27500000000000002</v>
      </c>
      <c r="M27" s="8">
        <f t="shared" si="9"/>
        <v>0.49472500000000003</v>
      </c>
    </row>
    <row r="28" spans="1:14">
      <c r="A28" s="3">
        <v>1</v>
      </c>
      <c r="B28" s="3">
        <f t="shared" si="10"/>
        <v>1.8</v>
      </c>
      <c r="C28" s="3">
        <f t="shared" si="11"/>
        <v>3.3</v>
      </c>
      <c r="D28" s="3">
        <f t="shared" si="12"/>
        <v>3.2</v>
      </c>
      <c r="E28" s="3" t="s">
        <v>0</v>
      </c>
      <c r="F28" s="3">
        <v>1.706</v>
      </c>
      <c r="G28" s="8">
        <f t="shared" si="13"/>
        <v>0.58616647127784294</v>
      </c>
      <c r="H28" s="3">
        <v>0.23499999999999999</v>
      </c>
      <c r="I28" s="3">
        <f t="shared" si="7"/>
        <v>0.40090999999999999</v>
      </c>
      <c r="J28" s="3">
        <v>0.25</v>
      </c>
      <c r="K28" s="8">
        <f t="shared" si="8"/>
        <v>0.42649999999999999</v>
      </c>
      <c r="L28" s="3">
        <v>0.26500000000000001</v>
      </c>
      <c r="M28" s="8">
        <f t="shared" si="9"/>
        <v>0.45208999999999999</v>
      </c>
    </row>
    <row r="29" spans="1:14">
      <c r="A29" s="3">
        <v>1.05</v>
      </c>
      <c r="B29" s="3">
        <f>1.8*A29</f>
        <v>1.8900000000000001</v>
      </c>
      <c r="C29" s="3">
        <f>3.3*A29</f>
        <v>3.4649999999999999</v>
      </c>
      <c r="D29" s="3">
        <f>3.2*A29</f>
        <v>3.3600000000000003</v>
      </c>
      <c r="E29" s="3" t="s">
        <v>0</v>
      </c>
      <c r="F29" s="3">
        <v>1.6439999999999999</v>
      </c>
      <c r="G29" s="8">
        <f t="shared" si="13"/>
        <v>0.6082725060827251</v>
      </c>
      <c r="H29" s="3">
        <v>0.24</v>
      </c>
      <c r="I29" s="3">
        <f t="shared" si="7"/>
        <v>0.39455999999999997</v>
      </c>
      <c r="J29" s="3">
        <v>0.26</v>
      </c>
      <c r="K29" s="8">
        <f t="shared" si="8"/>
        <v>0.42743999999999999</v>
      </c>
      <c r="L29" s="3">
        <v>0.26</v>
      </c>
      <c r="M29" s="8">
        <f t="shared" si="9"/>
        <v>0.42743999999999999</v>
      </c>
    </row>
    <row r="30" spans="1:14">
      <c r="A30" s="3">
        <v>1.1000000000000001</v>
      </c>
      <c r="B30" s="3">
        <f>1.8*A30</f>
        <v>1.9800000000000002</v>
      </c>
      <c r="C30" s="3">
        <f>3.3*A30</f>
        <v>3.63</v>
      </c>
      <c r="D30" s="3">
        <f>3.2*A30</f>
        <v>3.5200000000000005</v>
      </c>
      <c r="E30" s="3" t="s">
        <v>0</v>
      </c>
      <c r="F30" s="3">
        <v>1.5980000000000001</v>
      </c>
      <c r="G30" s="8">
        <f t="shared" si="13"/>
        <v>0.62578222778473092</v>
      </c>
      <c r="H30" s="3">
        <v>0.23</v>
      </c>
      <c r="I30" s="3">
        <f t="shared" si="7"/>
        <v>0.36754000000000003</v>
      </c>
      <c r="J30" s="3">
        <v>0.28000000000000003</v>
      </c>
      <c r="K30" s="8">
        <f t="shared" si="8"/>
        <v>0.44744000000000006</v>
      </c>
      <c r="L30" s="3">
        <v>0.26</v>
      </c>
      <c r="M30" s="8">
        <f t="shared" si="9"/>
        <v>0.41548000000000002</v>
      </c>
    </row>
    <row r="31" spans="1:14">
      <c r="A31" s="4">
        <v>0.9</v>
      </c>
      <c r="B31" s="4">
        <f>1.8*A31</f>
        <v>1.62</v>
      </c>
      <c r="C31" s="4">
        <f>3.3*A31</f>
        <v>2.9699999999999998</v>
      </c>
      <c r="D31" s="4">
        <f>3.2*A31</f>
        <v>2.8800000000000003</v>
      </c>
      <c r="E31" s="4" t="s">
        <v>1</v>
      </c>
      <c r="F31" s="4">
        <v>1.948</v>
      </c>
      <c r="G31" s="10">
        <f t="shared" si="13"/>
        <v>0.51334702258726905</v>
      </c>
      <c r="H31" s="4">
        <v>0.23499999999999999</v>
      </c>
      <c r="I31" s="4">
        <f t="shared" si="7"/>
        <v>0.45777999999999996</v>
      </c>
      <c r="J31" s="4">
        <v>0.185</v>
      </c>
      <c r="K31" s="10">
        <f t="shared" si="8"/>
        <v>0.36037999999999998</v>
      </c>
      <c r="L31" s="4">
        <v>0.26500000000000001</v>
      </c>
      <c r="M31" s="10">
        <f t="shared" si="9"/>
        <v>0.51622000000000001</v>
      </c>
      <c r="N31" s="4"/>
    </row>
    <row r="32" spans="1:14">
      <c r="A32" s="4">
        <v>0.95</v>
      </c>
      <c r="B32" s="4">
        <f t="shared" ref="B32:B33" si="14">1.8*A32</f>
        <v>1.71</v>
      </c>
      <c r="C32" s="4">
        <f t="shared" ref="C32:C33" si="15">3.3*A32</f>
        <v>3.1349999999999998</v>
      </c>
      <c r="D32" s="4">
        <f t="shared" ref="D32:D33" si="16">3.2*A32</f>
        <v>3.04</v>
      </c>
      <c r="E32" s="4" t="s">
        <v>1</v>
      </c>
      <c r="F32" s="4">
        <v>1.8009999999999999</v>
      </c>
      <c r="G32" s="10">
        <f t="shared" si="13"/>
        <v>0.55524708495280406</v>
      </c>
      <c r="H32" s="4">
        <v>0.23</v>
      </c>
      <c r="I32" s="4">
        <f t="shared" si="7"/>
        <v>0.41422999999999999</v>
      </c>
      <c r="J32" s="4">
        <v>0.24</v>
      </c>
      <c r="K32" s="10">
        <f t="shared" si="8"/>
        <v>0.43223999999999996</v>
      </c>
      <c r="L32" s="4">
        <v>0.26500000000000001</v>
      </c>
      <c r="M32" s="10">
        <f t="shared" si="9"/>
        <v>0.47726499999999999</v>
      </c>
      <c r="N32" s="4"/>
    </row>
    <row r="33" spans="1:14">
      <c r="A33" s="4">
        <v>1</v>
      </c>
      <c r="B33" s="4">
        <f t="shared" si="14"/>
        <v>1.8</v>
      </c>
      <c r="C33" s="4">
        <f t="shared" si="15"/>
        <v>3.3</v>
      </c>
      <c r="D33" s="4">
        <f t="shared" si="16"/>
        <v>3.2</v>
      </c>
      <c r="E33" s="4" t="s">
        <v>1</v>
      </c>
      <c r="F33" s="4">
        <v>1.708</v>
      </c>
      <c r="G33" s="10">
        <f t="shared" si="13"/>
        <v>0.58548009367681497</v>
      </c>
      <c r="H33" s="4">
        <v>0.23499999999999999</v>
      </c>
      <c r="I33" s="4">
        <f t="shared" si="7"/>
        <v>0.40137999999999996</v>
      </c>
      <c r="J33" s="4">
        <v>0.23499999999999999</v>
      </c>
      <c r="K33" s="10">
        <f t="shared" si="8"/>
        <v>0.40137999999999996</v>
      </c>
      <c r="L33" s="4">
        <v>0.26500000000000001</v>
      </c>
      <c r="M33" s="10">
        <f t="shared" si="9"/>
        <v>0.45262000000000002</v>
      </c>
      <c r="N33" s="4"/>
    </row>
    <row r="34" spans="1:14">
      <c r="A34" s="4">
        <v>1.05</v>
      </c>
      <c r="B34" s="4">
        <f>1.8*A34</f>
        <v>1.8900000000000001</v>
      </c>
      <c r="C34" s="4">
        <f>3.3*A34</f>
        <v>3.4649999999999999</v>
      </c>
      <c r="D34" s="4">
        <f>3.2*A34</f>
        <v>3.3600000000000003</v>
      </c>
      <c r="E34" s="4" t="s">
        <v>1</v>
      </c>
      <c r="F34" s="4">
        <v>1.649</v>
      </c>
      <c r="G34" s="10">
        <f t="shared" si="13"/>
        <v>0.60642813826561548</v>
      </c>
      <c r="H34" s="4">
        <v>0.23</v>
      </c>
      <c r="I34" s="4">
        <f t="shared" si="7"/>
        <v>0.37927</v>
      </c>
      <c r="J34" s="4">
        <v>0.245</v>
      </c>
      <c r="K34" s="10">
        <f t="shared" si="8"/>
        <v>0.404005</v>
      </c>
      <c r="L34" s="4">
        <v>0.26</v>
      </c>
      <c r="M34" s="10">
        <f t="shared" si="9"/>
        <v>0.42874000000000001</v>
      </c>
      <c r="N34" s="4"/>
    </row>
    <row r="35" spans="1:14">
      <c r="A35" s="4">
        <v>1.1000000000000001</v>
      </c>
      <c r="B35" s="4">
        <f>1.8*A35</f>
        <v>1.9800000000000002</v>
      </c>
      <c r="C35" s="4">
        <f>3.3*A35</f>
        <v>3.63</v>
      </c>
      <c r="D35" s="4">
        <f>3.2*A35</f>
        <v>3.5200000000000005</v>
      </c>
      <c r="E35" s="4" t="s">
        <v>1</v>
      </c>
      <c r="F35" s="4">
        <v>1.607</v>
      </c>
      <c r="G35" s="10">
        <f t="shared" si="13"/>
        <v>0.62227753578095835</v>
      </c>
      <c r="H35" s="4">
        <v>0.22500000000000001</v>
      </c>
      <c r="I35" s="4">
        <f t="shared" si="7"/>
        <v>0.36157499999999998</v>
      </c>
      <c r="J35" s="4">
        <v>0.26</v>
      </c>
      <c r="K35" s="10">
        <f t="shared" si="8"/>
        <v>0.41782000000000002</v>
      </c>
      <c r="L35" s="4">
        <v>0.24</v>
      </c>
      <c r="M35" s="10">
        <f t="shared" si="9"/>
        <v>0.38567999999999997</v>
      </c>
      <c r="N35" s="4"/>
    </row>
    <row r="36" spans="1:14">
      <c r="A36" s="6">
        <v>0.9</v>
      </c>
      <c r="B36" s="6">
        <f>1.8*A36</f>
        <v>1.62</v>
      </c>
      <c r="C36" s="6">
        <f>3.3*A36</f>
        <v>2.9699999999999998</v>
      </c>
      <c r="D36" s="6">
        <f>3.2*A36</f>
        <v>2.8800000000000003</v>
      </c>
      <c r="E36" s="6" t="s">
        <v>2</v>
      </c>
      <c r="F36" s="6">
        <v>1.893</v>
      </c>
      <c r="G36" s="17">
        <f t="shared" si="13"/>
        <v>0.52826201796090866</v>
      </c>
      <c r="H36" s="6">
        <v>0.22500000000000001</v>
      </c>
      <c r="I36" s="6">
        <f t="shared" si="7"/>
        <v>0.425925</v>
      </c>
      <c r="J36" s="6">
        <v>0.255</v>
      </c>
      <c r="K36" s="17">
        <f t="shared" si="8"/>
        <v>0.48271500000000001</v>
      </c>
      <c r="L36" s="6">
        <v>0.26</v>
      </c>
      <c r="M36" s="17">
        <f t="shared" si="9"/>
        <v>0.49218000000000001</v>
      </c>
    </row>
    <row r="37" spans="1:14">
      <c r="A37" s="6">
        <v>0.95</v>
      </c>
      <c r="B37" s="6">
        <f t="shared" ref="B37:B38" si="17">1.8*A37</f>
        <v>1.71</v>
      </c>
      <c r="C37" s="6">
        <f t="shared" ref="C37:C38" si="18">3.3*A37</f>
        <v>3.1349999999999998</v>
      </c>
      <c r="D37" s="6">
        <f t="shared" ref="D37:D38" si="19">3.2*A37</f>
        <v>3.04</v>
      </c>
      <c r="E37" s="6" t="s">
        <v>2</v>
      </c>
      <c r="F37" s="6">
        <v>1.752</v>
      </c>
      <c r="G37" s="17">
        <f t="shared" si="13"/>
        <v>0.57077625570776258</v>
      </c>
      <c r="H37" s="6">
        <v>0.23</v>
      </c>
      <c r="I37" s="6">
        <f t="shared" si="7"/>
        <v>0.40296000000000004</v>
      </c>
      <c r="J37" s="6">
        <v>0.26500000000000001</v>
      </c>
      <c r="K37" s="17">
        <f t="shared" si="8"/>
        <v>0.46428000000000003</v>
      </c>
      <c r="L37" s="6">
        <v>0.28000000000000003</v>
      </c>
      <c r="M37" s="17">
        <f t="shared" si="9"/>
        <v>0.49056000000000005</v>
      </c>
    </row>
    <row r="38" spans="1:14">
      <c r="A38" s="6">
        <v>1</v>
      </c>
      <c r="B38" s="6">
        <f t="shared" si="17"/>
        <v>1.8</v>
      </c>
      <c r="C38" s="6">
        <f t="shared" si="18"/>
        <v>3.3</v>
      </c>
      <c r="D38" s="6">
        <f t="shared" si="19"/>
        <v>3.2</v>
      </c>
      <c r="E38" s="6" t="s">
        <v>2</v>
      </c>
      <c r="F38" s="6">
        <v>1.6659999999999999</v>
      </c>
      <c r="G38" s="17">
        <f t="shared" si="13"/>
        <v>0.60024009603841544</v>
      </c>
      <c r="H38" s="6">
        <v>0.23499999999999999</v>
      </c>
      <c r="I38" s="6">
        <f t="shared" si="7"/>
        <v>0.39150999999999997</v>
      </c>
      <c r="J38" s="6">
        <v>0.26</v>
      </c>
      <c r="K38" s="17">
        <f t="shared" si="8"/>
        <v>0.43315999999999999</v>
      </c>
      <c r="L38" s="6">
        <v>0.26500000000000001</v>
      </c>
      <c r="M38" s="17">
        <f t="shared" si="9"/>
        <v>0.44148999999999999</v>
      </c>
    </row>
    <row r="39" spans="1:14">
      <c r="A39" s="6">
        <v>1.05</v>
      </c>
      <c r="B39" s="6">
        <f>1.8*A39</f>
        <v>1.8900000000000001</v>
      </c>
      <c r="C39" s="6">
        <f>3.3*A39</f>
        <v>3.4649999999999999</v>
      </c>
      <c r="D39" s="6">
        <f>3.2*A39</f>
        <v>3.3600000000000003</v>
      </c>
      <c r="E39" s="6" t="s">
        <v>2</v>
      </c>
      <c r="F39" s="6">
        <v>1.6160000000000001</v>
      </c>
      <c r="G39" s="17">
        <f t="shared" si="13"/>
        <v>0.61881188118811881</v>
      </c>
      <c r="H39" s="6">
        <v>0.23499999999999999</v>
      </c>
      <c r="I39" s="6">
        <f t="shared" si="7"/>
        <v>0.37975999999999999</v>
      </c>
      <c r="J39" s="6">
        <v>0.26</v>
      </c>
      <c r="K39" s="17">
        <f t="shared" si="8"/>
        <v>0.42016000000000003</v>
      </c>
      <c r="L39" s="6">
        <v>0.26</v>
      </c>
      <c r="M39" s="17">
        <f t="shared" si="9"/>
        <v>0.42016000000000003</v>
      </c>
    </row>
    <row r="40" spans="1:14">
      <c r="A40" s="6">
        <v>1.1000000000000001</v>
      </c>
      <c r="B40" s="6">
        <f>1.8*A40</f>
        <v>1.9800000000000002</v>
      </c>
      <c r="C40" s="6">
        <f>3.3*A40</f>
        <v>3.63</v>
      </c>
      <c r="D40" s="6">
        <f>3.2*A40</f>
        <v>3.5200000000000005</v>
      </c>
      <c r="E40" s="6" t="s">
        <v>2</v>
      </c>
      <c r="F40" s="6">
        <v>1.58</v>
      </c>
      <c r="G40" s="17">
        <f t="shared" si="13"/>
        <v>0.63291139240506322</v>
      </c>
      <c r="H40" s="6">
        <v>0.24</v>
      </c>
      <c r="I40" s="6">
        <f t="shared" si="7"/>
        <v>0.37919999999999998</v>
      </c>
      <c r="J40" s="6">
        <v>0.26</v>
      </c>
      <c r="K40" s="17">
        <f t="shared" si="8"/>
        <v>0.41080000000000005</v>
      </c>
      <c r="L40" s="6">
        <v>0.22</v>
      </c>
      <c r="M40" s="17">
        <f t="shared" si="9"/>
        <v>0.34760000000000002</v>
      </c>
    </row>
    <row r="41" spans="1:14">
      <c r="A41" s="5">
        <v>0.9</v>
      </c>
      <c r="B41" s="5">
        <f>1.8*A41</f>
        <v>1.62</v>
      </c>
      <c r="C41" s="5">
        <f>3.3*A41</f>
        <v>2.9699999999999998</v>
      </c>
      <c r="D41" s="5">
        <f>3.2*A41</f>
        <v>2.8800000000000003</v>
      </c>
      <c r="E41" s="5" t="s">
        <v>3</v>
      </c>
      <c r="F41" s="5">
        <v>1.762</v>
      </c>
      <c r="G41" s="14">
        <f t="shared" si="13"/>
        <v>0.56753688989784334</v>
      </c>
      <c r="H41" s="5">
        <v>0.23499999999999999</v>
      </c>
      <c r="I41" s="5">
        <f t="shared" si="7"/>
        <v>0.41406999999999999</v>
      </c>
      <c r="J41" s="5">
        <v>0.28499999999999998</v>
      </c>
      <c r="K41" s="14">
        <f t="shared" si="8"/>
        <v>0.50217000000000001</v>
      </c>
      <c r="L41" s="5">
        <v>0.27300000000000002</v>
      </c>
      <c r="M41" s="14">
        <f t="shared" si="9"/>
        <v>0.48102600000000006</v>
      </c>
    </row>
    <row r="42" spans="1:14">
      <c r="A42" s="5">
        <v>0.95</v>
      </c>
      <c r="B42" s="5">
        <f t="shared" ref="B42:B43" si="20">1.8*A42</f>
        <v>1.71</v>
      </c>
      <c r="C42" s="5">
        <f t="shared" ref="C42:C43" si="21">3.3*A42</f>
        <v>3.1349999999999998</v>
      </c>
      <c r="D42" s="5">
        <f t="shared" ref="D42:D43" si="22">3.2*A42</f>
        <v>3.04</v>
      </c>
      <c r="E42" s="5" t="s">
        <v>3</v>
      </c>
      <c r="F42" s="5">
        <v>1.633</v>
      </c>
      <c r="G42" s="14">
        <f t="shared" si="13"/>
        <v>0.61236987140232702</v>
      </c>
      <c r="H42" s="5">
        <v>0.24</v>
      </c>
      <c r="I42" s="5">
        <f t="shared" si="7"/>
        <v>0.39191999999999999</v>
      </c>
      <c r="J42" s="5">
        <v>0.25</v>
      </c>
      <c r="K42" s="14">
        <f t="shared" si="8"/>
        <v>0.40825</v>
      </c>
      <c r="L42" s="5">
        <v>0.28000000000000003</v>
      </c>
      <c r="M42" s="14">
        <f t="shared" si="9"/>
        <v>0.45724000000000004</v>
      </c>
    </row>
    <row r="43" spans="1:14">
      <c r="A43" s="5">
        <v>1</v>
      </c>
      <c r="B43" s="5">
        <f t="shared" si="20"/>
        <v>1.8</v>
      </c>
      <c r="C43" s="5">
        <f t="shared" si="21"/>
        <v>3.3</v>
      </c>
      <c r="D43" s="5">
        <f t="shared" si="22"/>
        <v>3.2</v>
      </c>
      <c r="E43" s="5" t="s">
        <v>3</v>
      </c>
      <c r="F43" s="5">
        <v>1.5620000000000001</v>
      </c>
      <c r="G43" s="14">
        <f t="shared" si="13"/>
        <v>0.6402048655569782</v>
      </c>
      <c r="H43" s="5">
        <v>0.23499999999999999</v>
      </c>
      <c r="I43" s="5">
        <f t="shared" si="7"/>
        <v>0.36707000000000001</v>
      </c>
      <c r="J43" s="5">
        <v>0.255</v>
      </c>
      <c r="K43" s="14">
        <f t="shared" si="8"/>
        <v>0.39831</v>
      </c>
      <c r="L43" s="5">
        <v>0.28499999999999998</v>
      </c>
      <c r="M43" s="14">
        <f t="shared" si="9"/>
        <v>0.44516999999999995</v>
      </c>
    </row>
    <row r="44" spans="1:14">
      <c r="A44" s="5">
        <v>1.05</v>
      </c>
      <c r="B44" s="5">
        <f>1.8*A44</f>
        <v>1.8900000000000001</v>
      </c>
      <c r="C44" s="5">
        <f>3.3*A44</f>
        <v>3.4649999999999999</v>
      </c>
      <c r="D44" s="5">
        <f>3.2*A44</f>
        <v>3.3600000000000003</v>
      </c>
      <c r="E44" s="5" t="s">
        <v>3</v>
      </c>
      <c r="F44" s="5">
        <v>1.524</v>
      </c>
      <c r="G44" s="14">
        <f t="shared" si="13"/>
        <v>0.65616797900262469</v>
      </c>
      <c r="H44" s="5">
        <v>0.24</v>
      </c>
      <c r="I44" s="5">
        <f t="shared" si="7"/>
        <v>0.36575999999999997</v>
      </c>
      <c r="J44" s="5">
        <v>0.25</v>
      </c>
      <c r="K44" s="14">
        <f t="shared" si="8"/>
        <v>0.38100000000000001</v>
      </c>
      <c r="L44" s="5">
        <v>0.24</v>
      </c>
      <c r="M44" s="14">
        <f t="shared" si="9"/>
        <v>0.36575999999999997</v>
      </c>
    </row>
    <row r="45" spans="1:14">
      <c r="A45" s="5">
        <v>1.1000000000000001</v>
      </c>
      <c r="B45" s="5">
        <f>1.8*A45</f>
        <v>1.9800000000000002</v>
      </c>
      <c r="C45" s="5">
        <f>3.3*A45</f>
        <v>3.63</v>
      </c>
      <c r="D45" s="5">
        <f>3.2*A45</f>
        <v>3.5200000000000005</v>
      </c>
      <c r="E45" s="5" t="s">
        <v>3</v>
      </c>
      <c r="F45" s="5">
        <v>1.498</v>
      </c>
      <c r="G45" s="14">
        <f t="shared" si="13"/>
        <v>0.66755674232309747</v>
      </c>
      <c r="H45" s="5">
        <v>0.245</v>
      </c>
      <c r="I45" s="5">
        <f t="shared" si="7"/>
        <v>0.36701</v>
      </c>
      <c r="J45" s="5">
        <v>0.24</v>
      </c>
      <c r="K45" s="14">
        <f t="shared" si="8"/>
        <v>0.35952000000000001</v>
      </c>
      <c r="L45" s="5">
        <v>0.245</v>
      </c>
      <c r="M45" s="14">
        <f t="shared" si="9"/>
        <v>0.36701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selection activeCell="A142" sqref="A142"/>
    </sheetView>
  </sheetViews>
  <sheetFormatPr baseColWidth="10" defaultRowHeight="14" x14ac:dyDescent="0"/>
  <sheetData>
    <row r="1" spans="1:12">
      <c r="A1" s="2" t="s">
        <v>11</v>
      </c>
      <c r="B1" s="2" t="s">
        <v>7</v>
      </c>
      <c r="C1" s="2" t="s">
        <v>8</v>
      </c>
      <c r="D1" s="2" t="s">
        <v>9</v>
      </c>
      <c r="E1" s="2" t="s">
        <v>10</v>
      </c>
      <c r="F1" s="2">
        <v>20</v>
      </c>
      <c r="G1" s="2">
        <v>44</v>
      </c>
      <c r="H1" s="2">
        <v>60</v>
      </c>
      <c r="I1" s="2">
        <v>75</v>
      </c>
      <c r="J1" s="2">
        <v>100</v>
      </c>
      <c r="K1" s="2">
        <v>125</v>
      </c>
      <c r="L1" t="s">
        <v>20</v>
      </c>
    </row>
    <row r="2" spans="1:12">
      <c r="A2" s="3" t="s">
        <v>0</v>
      </c>
      <c r="B2" s="3">
        <v>0.9</v>
      </c>
      <c r="C2" s="3">
        <f>1.8*B2</f>
        <v>1.62</v>
      </c>
      <c r="D2" s="3">
        <f>3.3*B2</f>
        <v>2.9699999999999998</v>
      </c>
      <c r="E2" s="3">
        <f>3.2*B2</f>
        <v>2.8800000000000003</v>
      </c>
      <c r="F2" s="8">
        <f>1/2.506</f>
        <v>0.39904229848363931</v>
      </c>
      <c r="G2" s="8">
        <f>Sheet2!G26</f>
        <v>0.51493305870236872</v>
      </c>
      <c r="H2" s="8">
        <f>1/1.771</f>
        <v>0.56465273856578202</v>
      </c>
      <c r="I2" s="8">
        <f>1/1.661</f>
        <v>0.60204695966285371</v>
      </c>
      <c r="J2" s="8">
        <f>1/1.567</f>
        <v>0.63816209317166561</v>
      </c>
      <c r="K2" s="8">
        <f>1/1.512</f>
        <v>0.66137566137566139</v>
      </c>
    </row>
    <row r="3" spans="1:12">
      <c r="A3" s="3"/>
      <c r="B3" s="3">
        <v>0.95</v>
      </c>
      <c r="C3" s="3">
        <f t="shared" ref="C3:C21" si="0">1.8*B3</f>
        <v>1.71</v>
      </c>
      <c r="D3" s="3">
        <f t="shared" ref="D3:D6" si="1">3.3*B3</f>
        <v>3.1349999999999998</v>
      </c>
      <c r="E3" s="3">
        <f t="shared" ref="E3:E6" si="2">3.2*B3</f>
        <v>3.04</v>
      </c>
      <c r="F3" s="9">
        <f>1/2.318</f>
        <v>0.43140638481449523</v>
      </c>
      <c r="G3" s="8">
        <f>Sheet2!G27</f>
        <v>0.5558643690939411</v>
      </c>
      <c r="H3" s="8">
        <f>1/1.638</f>
        <v>0.61050061050061055</v>
      </c>
      <c r="I3" s="8">
        <f>1/1.53</f>
        <v>0.65359477124183007</v>
      </c>
      <c r="J3" s="8">
        <f>1/1.437</f>
        <v>0.6958942240779401</v>
      </c>
      <c r="K3" s="8">
        <f>1/1.358</f>
        <v>0.73637702503681879</v>
      </c>
    </row>
    <row r="4" spans="1:12">
      <c r="A4" s="3"/>
      <c r="B4" s="3">
        <v>1</v>
      </c>
      <c r="C4" s="3">
        <f t="shared" si="0"/>
        <v>1.8</v>
      </c>
      <c r="D4" s="3">
        <f t="shared" si="1"/>
        <v>3.3</v>
      </c>
      <c r="E4" s="3">
        <f t="shared" si="2"/>
        <v>3.2</v>
      </c>
      <c r="F4" s="8">
        <f>1/2.194</f>
        <v>0.45578851412944393</v>
      </c>
      <c r="G4" s="8">
        <f>Sheet2!G28</f>
        <v>0.58616647127784294</v>
      </c>
      <c r="H4" s="8">
        <f>1/1.554</f>
        <v>0.64350064350064351</v>
      </c>
      <c r="I4" s="8">
        <f>1/1.445</f>
        <v>0.69204152249134943</v>
      </c>
      <c r="J4" s="8">
        <f>1/1.348</f>
        <v>0.74183976261127593</v>
      </c>
      <c r="K4" s="8">
        <f>1/1.281</f>
        <v>0.78064012490242007</v>
      </c>
    </row>
    <row r="5" spans="1:12">
      <c r="A5" s="3"/>
      <c r="B5" s="3">
        <v>1.05</v>
      </c>
      <c r="C5" s="3">
        <f t="shared" si="0"/>
        <v>1.8900000000000001</v>
      </c>
      <c r="D5" s="3">
        <f t="shared" si="1"/>
        <v>3.4649999999999999</v>
      </c>
      <c r="E5" s="3">
        <f t="shared" si="2"/>
        <v>3.3600000000000003</v>
      </c>
      <c r="F5" s="8">
        <f>1/2.11</f>
        <v>0.47393364928909953</v>
      </c>
      <c r="G5" s="8">
        <f>Sheet2!G29</f>
        <v>0.6082725060827251</v>
      </c>
      <c r="H5" s="8">
        <f>1/1.5</f>
        <v>0.66666666666666663</v>
      </c>
      <c r="I5" s="8">
        <f>1/1.402</f>
        <v>0.71326676176890158</v>
      </c>
      <c r="J5" s="8">
        <f>1/1.305</f>
        <v>0.76628352490421459</v>
      </c>
      <c r="K5" s="8">
        <f>1/1.248</f>
        <v>0.80128205128205132</v>
      </c>
    </row>
    <row r="6" spans="1:12">
      <c r="A6" s="3"/>
      <c r="B6" s="3">
        <v>1.1000000000000001</v>
      </c>
      <c r="C6" s="3">
        <f t="shared" si="0"/>
        <v>1.9800000000000002</v>
      </c>
      <c r="D6" s="3">
        <f t="shared" si="1"/>
        <v>3.63</v>
      </c>
      <c r="E6" s="3">
        <f t="shared" si="2"/>
        <v>3.5200000000000005</v>
      </c>
      <c r="F6" s="9">
        <f>1/2.046</f>
        <v>0.48875855327468237</v>
      </c>
      <c r="G6" s="8">
        <f>Sheet2!G30</f>
        <v>0.62578222778473092</v>
      </c>
      <c r="H6" s="8">
        <f>1/1.46</f>
        <v>0.68493150684931503</v>
      </c>
      <c r="I6" s="8">
        <f>1/1.364</f>
        <v>0.73313782991202336</v>
      </c>
      <c r="J6" s="8">
        <f>1/1.281</f>
        <v>0.78064012490242007</v>
      </c>
      <c r="K6" s="8">
        <f>1/1.227</f>
        <v>0.81499592502037488</v>
      </c>
    </row>
    <row r="7" spans="1:12">
      <c r="A7" s="4" t="s">
        <v>1</v>
      </c>
      <c r="B7" s="4">
        <v>0.9</v>
      </c>
      <c r="C7" s="4">
        <f>1.8*B7</f>
        <v>1.62</v>
      </c>
      <c r="D7" s="4">
        <f>3.3*B7</f>
        <v>2.9699999999999998</v>
      </c>
      <c r="E7" s="4">
        <f>3.2*B7</f>
        <v>2.8800000000000003</v>
      </c>
      <c r="F7" s="10">
        <f>1/2.331</f>
        <v>0.42900042900042901</v>
      </c>
      <c r="G7" s="10">
        <f>Sheet2!G31</f>
        <v>0.51334702258726905</v>
      </c>
      <c r="H7" s="10">
        <f>1/1.809</f>
        <v>0.55279159756771701</v>
      </c>
      <c r="I7" s="11">
        <f>1/1.691</f>
        <v>0.59136605558840916</v>
      </c>
      <c r="J7" s="10">
        <f>1/1.603</f>
        <v>0.62383031815346224</v>
      </c>
      <c r="K7" s="10">
        <f>1/1.546</f>
        <v>0.64683053040103489</v>
      </c>
    </row>
    <row r="8" spans="1:12">
      <c r="A8" s="4"/>
      <c r="B8" s="4">
        <v>0.95</v>
      </c>
      <c r="C8" s="4">
        <f t="shared" si="0"/>
        <v>1.71</v>
      </c>
      <c r="D8" s="4">
        <f t="shared" ref="D8:D11" si="3">3.3*B8</f>
        <v>3.1349999999999998</v>
      </c>
      <c r="E8" s="4">
        <f t="shared" ref="E8:E11" si="4">3.2*B8</f>
        <v>3.04</v>
      </c>
      <c r="F8" s="10">
        <f>1/2.144</f>
        <v>0.46641791044776115</v>
      </c>
      <c r="G8" s="10">
        <f>Sheet2!G32</f>
        <v>0.55524708495280406</v>
      </c>
      <c r="H8" s="11">
        <f>1/1.67</f>
        <v>0.5988023952095809</v>
      </c>
      <c r="I8" s="10">
        <f>1/1.558</f>
        <v>0.64184852374839541</v>
      </c>
      <c r="J8" s="10">
        <f>1/1.472</f>
        <v>0.67934782608695654</v>
      </c>
      <c r="K8" s="10">
        <f>1/1.416</f>
        <v>0.70621468926553677</v>
      </c>
    </row>
    <row r="9" spans="1:12">
      <c r="A9" s="4"/>
      <c r="B9" s="4">
        <v>1</v>
      </c>
      <c r="C9" s="4">
        <f t="shared" si="0"/>
        <v>1.8</v>
      </c>
      <c r="D9" s="4">
        <f t="shared" si="3"/>
        <v>3.3</v>
      </c>
      <c r="E9" s="4">
        <f t="shared" si="4"/>
        <v>3.2</v>
      </c>
      <c r="F9" s="10">
        <f>1/2.028</f>
        <v>0.49309664694280081</v>
      </c>
      <c r="G9" s="10">
        <f>Sheet2!G33</f>
        <v>0.58548009367681497</v>
      </c>
      <c r="H9" s="10">
        <f>1/1.585</f>
        <v>0.63091482649842268</v>
      </c>
      <c r="I9" s="10">
        <f>1/1.478</f>
        <v>0.67658998646820023</v>
      </c>
      <c r="J9" s="10">
        <f>1/1.392</f>
        <v>0.71839080459770122</v>
      </c>
      <c r="K9" s="10">
        <f>1/1.324</f>
        <v>0.75528700906344404</v>
      </c>
    </row>
    <row r="10" spans="1:12">
      <c r="A10" s="4"/>
      <c r="B10" s="4">
        <v>1.05</v>
      </c>
      <c r="C10" s="4">
        <f t="shared" si="0"/>
        <v>1.8900000000000001</v>
      </c>
      <c r="D10" s="4">
        <f t="shared" si="3"/>
        <v>3.4649999999999999</v>
      </c>
      <c r="E10" s="4">
        <f t="shared" si="4"/>
        <v>3.3600000000000003</v>
      </c>
      <c r="F10" s="10">
        <f>1/1.96</f>
        <v>0.51020408163265307</v>
      </c>
      <c r="G10" s="10">
        <f>Sheet2!G34</f>
        <v>0.60642813826561548</v>
      </c>
      <c r="H10" s="10">
        <f>1/1.532</f>
        <v>0.65274151436031336</v>
      </c>
      <c r="I10" s="10">
        <f>1/1.43</f>
        <v>0.69930069930069938</v>
      </c>
      <c r="J10" s="10">
        <f>1/1.343</f>
        <v>0.74460163812360391</v>
      </c>
      <c r="K10" s="10">
        <f>1/1.286</f>
        <v>0.77760497667185069</v>
      </c>
    </row>
    <row r="11" spans="1:12">
      <c r="A11" s="4"/>
      <c r="B11" s="4">
        <v>1.1000000000000001</v>
      </c>
      <c r="C11" s="4">
        <f t="shared" si="0"/>
        <v>1.9800000000000002</v>
      </c>
      <c r="D11" s="4">
        <f t="shared" si="3"/>
        <v>3.63</v>
      </c>
      <c r="E11" s="4">
        <f t="shared" si="4"/>
        <v>3.5200000000000005</v>
      </c>
      <c r="F11" s="10">
        <f>1/1.911</f>
        <v>0.52328623757195181</v>
      </c>
      <c r="G11" s="10">
        <f>Sheet2!G35</f>
        <v>0.62227753578095835</v>
      </c>
      <c r="H11" s="10">
        <f>1/1.494</f>
        <v>0.66934404283801874</v>
      </c>
      <c r="I11" s="10">
        <f>1/1.397</f>
        <v>0.71581961345740874</v>
      </c>
      <c r="J11" s="10">
        <f>1/1.315</f>
        <v>0.76045627376425862</v>
      </c>
      <c r="K11" s="10">
        <f>1/1.262</f>
        <v>0.79239302694136293</v>
      </c>
    </row>
    <row r="12" spans="1:12">
      <c r="A12" s="7" t="s">
        <v>2</v>
      </c>
      <c r="B12" s="7">
        <v>0.9</v>
      </c>
      <c r="C12" s="7">
        <f>1.8*B12</f>
        <v>1.62</v>
      </c>
      <c r="D12" s="7">
        <f>3.3*B12</f>
        <v>2.9699999999999998</v>
      </c>
      <c r="E12" s="7">
        <f>3.2*B12</f>
        <v>2.8800000000000003</v>
      </c>
      <c r="F12" s="12">
        <f>1/2.15</f>
        <v>0.46511627906976744</v>
      </c>
      <c r="G12" s="12">
        <f>Sheet2!G36</f>
        <v>0.52826201796090866</v>
      </c>
      <c r="H12" s="12">
        <f>1/1.784</f>
        <v>0.5605381165919282</v>
      </c>
      <c r="I12" s="12">
        <f>1/1.678</f>
        <v>0.59594755661501786</v>
      </c>
      <c r="J12" s="12">
        <f>1/1.6</f>
        <v>0.625</v>
      </c>
      <c r="K12" s="12">
        <f>1/1.545</f>
        <v>0.64724919093851141</v>
      </c>
    </row>
    <row r="13" spans="1:12">
      <c r="A13" s="7"/>
      <c r="B13" s="7">
        <v>0.95</v>
      </c>
      <c r="C13" s="7">
        <f t="shared" si="0"/>
        <v>1.71</v>
      </c>
      <c r="D13" s="7">
        <f t="shared" ref="D13:D16" si="5">3.3*B13</f>
        <v>3.1349999999999998</v>
      </c>
      <c r="E13" s="7">
        <f t="shared" ref="E13:E16" si="6">3.2*B13</f>
        <v>3.04</v>
      </c>
      <c r="F13" s="12">
        <f>1/1.978</f>
        <v>0.50556117290192115</v>
      </c>
      <c r="G13" s="12">
        <f>Sheet2!G37</f>
        <v>0.57077625570776258</v>
      </c>
      <c r="H13" s="12">
        <f>1/1.652</f>
        <v>0.60532687651331718</v>
      </c>
      <c r="I13" s="12">
        <f>1/1.551</f>
        <v>0.64474532559638942</v>
      </c>
      <c r="J13" s="12">
        <f>1/1.478</f>
        <v>0.67658998646820023</v>
      </c>
      <c r="K13" s="12">
        <f>1/1.426</f>
        <v>0.70126227208976155</v>
      </c>
    </row>
    <row r="14" spans="1:12">
      <c r="A14" s="7"/>
      <c r="B14" s="7">
        <v>1</v>
      </c>
      <c r="C14" s="7">
        <f t="shared" si="0"/>
        <v>1.8</v>
      </c>
      <c r="D14" s="7">
        <f t="shared" si="5"/>
        <v>3.3</v>
      </c>
      <c r="E14" s="7">
        <f t="shared" si="6"/>
        <v>3.2</v>
      </c>
      <c r="F14" s="12">
        <f>1/1.877</f>
        <v>0.53276505061267976</v>
      </c>
      <c r="G14" s="12">
        <f>Sheet2!G38</f>
        <v>0.60024009603841544</v>
      </c>
      <c r="H14" s="12">
        <f>1/1.572</f>
        <v>0.63613231552162852</v>
      </c>
      <c r="I14" s="12">
        <f>1/1.478</f>
        <v>0.67658998646820023</v>
      </c>
      <c r="J14" s="12">
        <f>1/1.408</f>
        <v>0.71022727272727282</v>
      </c>
      <c r="K14" s="12">
        <f>1/1.346</f>
        <v>0.74294205052005935</v>
      </c>
    </row>
    <row r="15" spans="1:12">
      <c r="A15" s="7"/>
      <c r="B15" s="7">
        <v>1.05</v>
      </c>
      <c r="C15" s="7">
        <f t="shared" si="0"/>
        <v>1.8900000000000001</v>
      </c>
      <c r="D15" s="7">
        <f t="shared" si="5"/>
        <v>3.4649999999999999</v>
      </c>
      <c r="E15" s="7">
        <f t="shared" si="6"/>
        <v>3.3600000000000003</v>
      </c>
      <c r="F15" s="12">
        <f>1/1.823</f>
        <v>0.54854635216675807</v>
      </c>
      <c r="G15" s="12">
        <f>Sheet2!G39</f>
        <v>0.61881188118811881</v>
      </c>
      <c r="H15" s="12">
        <f>1/1.526</f>
        <v>0.65530799475753598</v>
      </c>
      <c r="I15" s="12">
        <f>1/1.436</f>
        <v>0.69637883008356549</v>
      </c>
      <c r="J15" s="12">
        <f>1/1.363</f>
        <v>0.73367571533382248</v>
      </c>
      <c r="K15" s="12">
        <f>1/1.309</f>
        <v>0.76394194041252872</v>
      </c>
    </row>
    <row r="16" spans="1:12">
      <c r="A16" s="7"/>
      <c r="B16" s="7">
        <v>1.1000000000000001</v>
      </c>
      <c r="C16" s="7">
        <f t="shared" si="0"/>
        <v>1.9800000000000002</v>
      </c>
      <c r="D16" s="7">
        <f t="shared" si="5"/>
        <v>3.63</v>
      </c>
      <c r="E16" s="7">
        <f t="shared" si="6"/>
        <v>3.5200000000000005</v>
      </c>
      <c r="F16" s="13">
        <f>1/1.786</f>
        <v>0.55991041433370659</v>
      </c>
      <c r="G16" s="12">
        <f>Sheet2!G40</f>
        <v>0.63291139240506322</v>
      </c>
      <c r="H16" s="12">
        <f>1/1.493</f>
        <v>0.66979236436704614</v>
      </c>
      <c r="I16" s="12">
        <f>1/1.407</f>
        <v>0.71073205401563611</v>
      </c>
      <c r="J16" s="13">
        <f>1/1.336</f>
        <v>0.74850299401197595</v>
      </c>
      <c r="K16" s="12">
        <f>1/1.287</f>
        <v>0.77700077700077708</v>
      </c>
    </row>
    <row r="17" spans="1:11">
      <c r="A17" s="5" t="s">
        <v>3</v>
      </c>
      <c r="B17" s="5">
        <v>0.9</v>
      </c>
      <c r="C17" s="5">
        <f>1.8*B17</f>
        <v>1.62</v>
      </c>
      <c r="D17" s="5">
        <f>3.3*B17</f>
        <v>2.9699999999999998</v>
      </c>
      <c r="E17" s="5">
        <f>3.2*B17</f>
        <v>2.8800000000000003</v>
      </c>
      <c r="F17" s="14">
        <f>1/1.845</f>
        <v>0.5420054200542006</v>
      </c>
      <c r="G17" s="14">
        <f>Sheet2!G41</f>
        <v>0.56753688989784334</v>
      </c>
      <c r="H17" s="14">
        <f>1/1.719</f>
        <v>0.58173356602675974</v>
      </c>
      <c r="I17" s="14">
        <f>1/1.658</f>
        <v>0.60313630880579017</v>
      </c>
      <c r="J17" s="14">
        <f>1/1.603</f>
        <v>0.62383031815346224</v>
      </c>
      <c r="K17" s="14">
        <f>1/1.56</f>
        <v>0.64102564102564097</v>
      </c>
    </row>
    <row r="18" spans="1:11">
      <c r="A18" s="5"/>
      <c r="B18" s="5">
        <v>0.95</v>
      </c>
      <c r="C18" s="5">
        <f t="shared" si="0"/>
        <v>1.71</v>
      </c>
      <c r="D18" s="5">
        <f t="shared" ref="D18:D21" si="7">3.3*B18</f>
        <v>3.1349999999999998</v>
      </c>
      <c r="E18" s="5">
        <f t="shared" ref="E18:E21" si="8">3.2*B18</f>
        <v>3.04</v>
      </c>
      <c r="F18" s="15">
        <f>1/1.7</f>
        <v>0.58823529411764708</v>
      </c>
      <c r="G18" s="14">
        <f>Sheet2!G42</f>
        <v>0.61236987140232702</v>
      </c>
      <c r="H18" s="14">
        <f>1/1.587</f>
        <v>0.63011972274732198</v>
      </c>
      <c r="I18" s="14">
        <f>1/1.528</f>
        <v>0.65445026178010468</v>
      </c>
      <c r="J18" s="14">
        <f>1/1.478</f>
        <v>0.67658998646820023</v>
      </c>
      <c r="K18" s="14">
        <f>1/1.439</f>
        <v>0.69492703266157052</v>
      </c>
    </row>
    <row r="19" spans="1:11">
      <c r="A19" s="5"/>
      <c r="B19" s="5">
        <v>1</v>
      </c>
      <c r="C19" s="5">
        <f t="shared" si="0"/>
        <v>1.8</v>
      </c>
      <c r="D19" s="5">
        <f t="shared" si="7"/>
        <v>3.3</v>
      </c>
      <c r="E19" s="5">
        <f t="shared" si="8"/>
        <v>3.2</v>
      </c>
      <c r="F19" s="14">
        <f>1/1.645</f>
        <v>0.60790273556231</v>
      </c>
      <c r="G19" s="14">
        <f>Sheet2!G43</f>
        <v>0.6402048655569782</v>
      </c>
      <c r="H19" s="14">
        <f>1/1.515</f>
        <v>0.66006600660066006</v>
      </c>
      <c r="I19" s="14">
        <f>1/1.454</f>
        <v>0.68775790921595603</v>
      </c>
      <c r="J19" s="14">
        <f>1/1.407</f>
        <v>0.71073205401563611</v>
      </c>
      <c r="K19" s="14">
        <f>1/1.361</f>
        <v>0.73475385745775168</v>
      </c>
    </row>
    <row r="20" spans="1:11">
      <c r="A20" s="5"/>
      <c r="B20" s="5">
        <v>1.05</v>
      </c>
      <c r="C20" s="5">
        <f t="shared" si="0"/>
        <v>1.8900000000000001</v>
      </c>
      <c r="D20" s="5">
        <f t="shared" si="7"/>
        <v>3.4649999999999999</v>
      </c>
      <c r="E20" s="5">
        <f t="shared" si="8"/>
        <v>3.3600000000000003</v>
      </c>
      <c r="F20" s="14">
        <f>1/1.615</f>
        <v>0.61919504643962853</v>
      </c>
      <c r="G20" s="14">
        <f>Sheet2!G44</f>
        <v>0.65616797900262469</v>
      </c>
      <c r="H20" s="14">
        <f>1/1.475</f>
        <v>0.67796610169491522</v>
      </c>
      <c r="I20" s="15">
        <f>1/1.416</f>
        <v>0.70621468926553677</v>
      </c>
      <c r="J20" s="14">
        <f>1/1.365</f>
        <v>0.73260073260073255</v>
      </c>
      <c r="K20" s="14">
        <f>1/1.324</f>
        <v>0.75528700906344404</v>
      </c>
    </row>
    <row r="21" spans="1:11">
      <c r="A21" s="5"/>
      <c r="B21" s="5">
        <v>1.1000000000000001</v>
      </c>
      <c r="C21" s="5">
        <f t="shared" si="0"/>
        <v>1.9800000000000002</v>
      </c>
      <c r="D21" s="5">
        <f t="shared" si="7"/>
        <v>3.63</v>
      </c>
      <c r="E21" s="5">
        <f t="shared" si="8"/>
        <v>3.5200000000000005</v>
      </c>
      <c r="F21" s="14">
        <f>1/1.591</f>
        <v>0.62853551225644255</v>
      </c>
      <c r="G21" s="14">
        <f>Sheet2!G45</f>
        <v>0.66755674232309747</v>
      </c>
      <c r="H21" s="14">
        <f>1/1.45</f>
        <v>0.68965517241379315</v>
      </c>
      <c r="I21" s="14">
        <f>1/1.39</f>
        <v>0.71942446043165476</v>
      </c>
      <c r="J21" s="14">
        <f>1/1.342</f>
        <v>0.7451564828614009</v>
      </c>
      <c r="K21" s="14">
        <f>1/1.304</f>
        <v>0.76687116564417179</v>
      </c>
    </row>
    <row r="71" spans="1:12">
      <c r="A71" s="2" t="s">
        <v>11</v>
      </c>
      <c r="B71" s="2" t="s">
        <v>7</v>
      </c>
      <c r="C71" s="2" t="s">
        <v>8</v>
      </c>
      <c r="D71" s="2" t="s">
        <v>9</v>
      </c>
      <c r="E71" s="2" t="s">
        <v>10</v>
      </c>
      <c r="F71" s="2">
        <v>20</v>
      </c>
      <c r="G71" s="2">
        <v>44</v>
      </c>
      <c r="H71" s="2">
        <v>60</v>
      </c>
      <c r="I71" s="2">
        <v>75</v>
      </c>
      <c r="J71" s="2">
        <v>100</v>
      </c>
      <c r="K71" s="2">
        <v>125</v>
      </c>
      <c r="L71" t="s">
        <v>20</v>
      </c>
    </row>
    <row r="72" spans="1:12" s="3" customFormat="1">
      <c r="A72" s="3" t="s">
        <v>0</v>
      </c>
      <c r="B72" s="3">
        <v>0.9</v>
      </c>
      <c r="C72" s="3">
        <f>1.8*B72</f>
        <v>1.62</v>
      </c>
      <c r="D72" s="3">
        <f>3.3*B72</f>
        <v>2.9699999999999998</v>
      </c>
      <c r="E72" s="3">
        <f>3.2*B72</f>
        <v>2.8800000000000003</v>
      </c>
      <c r="F72" s="8">
        <f>1/2.506</f>
        <v>0.39904229848363931</v>
      </c>
      <c r="G72" s="8">
        <f>Sheet2!G3</f>
        <v>0.51493305870236872</v>
      </c>
      <c r="H72" s="8">
        <f>1/1.771</f>
        <v>0.56465273856578202</v>
      </c>
      <c r="I72" s="8">
        <f>1/1.661</f>
        <v>0.60204695966285371</v>
      </c>
      <c r="J72" s="8">
        <f>1/1.567</f>
        <v>0.63816209317166561</v>
      </c>
      <c r="K72" s="8">
        <f>1/1.512</f>
        <v>0.66137566137566139</v>
      </c>
    </row>
    <row r="73" spans="1:12" s="4" customFormat="1">
      <c r="A73" s="4" t="s">
        <v>1</v>
      </c>
      <c r="B73" s="4">
        <v>0.9</v>
      </c>
      <c r="C73" s="4">
        <f>1.8*B73</f>
        <v>1.62</v>
      </c>
      <c r="D73" s="4">
        <f>3.3*B73</f>
        <v>2.9699999999999998</v>
      </c>
      <c r="E73" s="4">
        <f>3.2*B73</f>
        <v>2.8800000000000003</v>
      </c>
      <c r="F73" s="10">
        <f>1/2.331</f>
        <v>0.42900042900042901</v>
      </c>
      <c r="G73" s="10">
        <f>Sheet2!G4</f>
        <v>0.51334702258726905</v>
      </c>
      <c r="H73" s="10">
        <f>1/1.809</f>
        <v>0.55279159756771701</v>
      </c>
      <c r="I73" s="11">
        <f>1/1.691</f>
        <v>0.59136605558840916</v>
      </c>
      <c r="J73" s="10">
        <f>1/1.603</f>
        <v>0.62383031815346224</v>
      </c>
      <c r="K73" s="10">
        <f>1/1.546</f>
        <v>0.64683053040103489</v>
      </c>
    </row>
    <row r="74" spans="1:12" s="7" customFormat="1">
      <c r="A74" s="7" t="s">
        <v>2</v>
      </c>
      <c r="B74" s="7">
        <v>0.9</v>
      </c>
      <c r="C74" s="7">
        <f>1.8*B74</f>
        <v>1.62</v>
      </c>
      <c r="D74" s="7">
        <f>3.3*B74</f>
        <v>2.9699999999999998</v>
      </c>
      <c r="E74" s="7">
        <f>3.2*B74</f>
        <v>2.8800000000000003</v>
      </c>
      <c r="F74" s="12">
        <f>1/2.15</f>
        <v>0.46511627906976744</v>
      </c>
      <c r="G74" s="12">
        <f>Sheet2!G5</f>
        <v>0.52826201796090866</v>
      </c>
      <c r="H74" s="12">
        <f>1/1.784</f>
        <v>0.5605381165919282</v>
      </c>
      <c r="I74" s="12">
        <f>1/1.678</f>
        <v>0.59594755661501786</v>
      </c>
      <c r="J74" s="12">
        <f>1/1.6</f>
        <v>0.625</v>
      </c>
      <c r="K74" s="12">
        <f>1/1.545</f>
        <v>0.64724919093851141</v>
      </c>
    </row>
    <row r="75" spans="1:12" s="5" customFormat="1">
      <c r="A75" s="5" t="s">
        <v>3</v>
      </c>
      <c r="B75" s="5">
        <v>0.9</v>
      </c>
      <c r="C75" s="5">
        <f>1.8*B75</f>
        <v>1.62</v>
      </c>
      <c r="D75" s="5">
        <f>3.3*B75</f>
        <v>2.9699999999999998</v>
      </c>
      <c r="E75" s="5">
        <f>3.2*B75</f>
        <v>2.8800000000000003</v>
      </c>
      <c r="F75" s="14">
        <f>1/1.845</f>
        <v>0.5420054200542006</v>
      </c>
      <c r="G75" s="14">
        <f>Sheet2!G6</f>
        <v>0.56753688989784334</v>
      </c>
      <c r="H75" s="14">
        <f>1/1.719</f>
        <v>0.58173356602675974</v>
      </c>
      <c r="I75" s="14">
        <f>1/1.658</f>
        <v>0.60313630880579017</v>
      </c>
      <c r="J75" s="14">
        <f>1/1.603</f>
        <v>0.62383031815346224</v>
      </c>
      <c r="K75" s="14">
        <f>1/1.56</f>
        <v>0.64102564102564097</v>
      </c>
    </row>
    <row r="76" spans="1:12">
      <c r="A76" s="3" t="s">
        <v>0</v>
      </c>
      <c r="B76" s="3">
        <v>0.95</v>
      </c>
      <c r="C76" s="3">
        <f t="shared" ref="C76:C83" si="9">1.8*B76</f>
        <v>1.71</v>
      </c>
      <c r="D76" s="3">
        <f t="shared" ref="D76:D83" si="10">3.3*B76</f>
        <v>3.1349999999999998</v>
      </c>
      <c r="E76" s="3">
        <f t="shared" ref="E76:E83" si="11">3.2*B76</f>
        <v>3.04</v>
      </c>
      <c r="F76" s="9">
        <f>1/2.318</f>
        <v>0.43140638481449523</v>
      </c>
      <c r="G76" s="8">
        <f>Sheet2!G7</f>
        <v>0.5558643690939411</v>
      </c>
      <c r="H76" s="8">
        <f>1/1.638</f>
        <v>0.61050061050061055</v>
      </c>
      <c r="I76" s="8">
        <f>1/1.53</f>
        <v>0.65359477124183007</v>
      </c>
      <c r="J76" s="8">
        <f>1/1.437</f>
        <v>0.6958942240779401</v>
      </c>
      <c r="K76" s="8">
        <f>1/1.358</f>
        <v>0.73637702503681879</v>
      </c>
    </row>
    <row r="77" spans="1:12" s="4" customFormat="1">
      <c r="A77" s="4" t="s">
        <v>1</v>
      </c>
      <c r="B77" s="4">
        <v>0.95</v>
      </c>
      <c r="C77" s="4">
        <f t="shared" si="9"/>
        <v>1.71</v>
      </c>
      <c r="D77" s="4">
        <f t="shared" si="10"/>
        <v>3.1349999999999998</v>
      </c>
      <c r="E77" s="4">
        <f t="shared" si="11"/>
        <v>3.04</v>
      </c>
      <c r="F77" s="10">
        <f>1/2.144</f>
        <v>0.46641791044776115</v>
      </c>
      <c r="G77" s="10">
        <f>Sheet2!G8</f>
        <v>0.55524708495280406</v>
      </c>
      <c r="H77" s="11">
        <f>1/1.67</f>
        <v>0.5988023952095809</v>
      </c>
      <c r="I77" s="10">
        <f>1/1.558</f>
        <v>0.64184852374839541</v>
      </c>
      <c r="J77" s="10">
        <f>1/1.472</f>
        <v>0.67934782608695654</v>
      </c>
      <c r="K77" s="10">
        <f>1/1.416</f>
        <v>0.70621468926553677</v>
      </c>
    </row>
    <row r="78" spans="1:12" s="7" customFormat="1">
      <c r="A78" s="7" t="s">
        <v>2</v>
      </c>
      <c r="B78" s="7">
        <v>0.95</v>
      </c>
      <c r="C78" s="7">
        <f t="shared" si="9"/>
        <v>1.71</v>
      </c>
      <c r="D78" s="7">
        <f t="shared" si="10"/>
        <v>3.1349999999999998</v>
      </c>
      <c r="E78" s="7">
        <f t="shared" si="11"/>
        <v>3.04</v>
      </c>
      <c r="F78" s="12">
        <f>1/1.978</f>
        <v>0.50556117290192115</v>
      </c>
      <c r="G78" s="12">
        <f>Sheet2!G9</f>
        <v>0.57077625570776258</v>
      </c>
      <c r="H78" s="12">
        <f>1/1.652</f>
        <v>0.60532687651331718</v>
      </c>
      <c r="I78" s="12">
        <f>1/1.551</f>
        <v>0.64474532559638942</v>
      </c>
      <c r="J78" s="12">
        <f>1/1.478</f>
        <v>0.67658998646820023</v>
      </c>
      <c r="K78" s="12">
        <f>1/1.426</f>
        <v>0.70126227208976155</v>
      </c>
    </row>
    <row r="79" spans="1:12" s="5" customFormat="1">
      <c r="A79" s="5" t="s">
        <v>3</v>
      </c>
      <c r="B79" s="5">
        <v>0.95</v>
      </c>
      <c r="C79" s="5">
        <f t="shared" si="9"/>
        <v>1.71</v>
      </c>
      <c r="D79" s="5">
        <f t="shared" si="10"/>
        <v>3.1349999999999998</v>
      </c>
      <c r="E79" s="5">
        <f t="shared" si="11"/>
        <v>3.04</v>
      </c>
      <c r="F79" s="15">
        <f>1/1.7</f>
        <v>0.58823529411764708</v>
      </c>
      <c r="G79" s="14">
        <f>Sheet2!G10</f>
        <v>0.61236987140232702</v>
      </c>
      <c r="H79" s="14">
        <f>1/1.587</f>
        <v>0.63011972274732198</v>
      </c>
      <c r="I79" s="14">
        <f>1/1.528</f>
        <v>0.65445026178010468</v>
      </c>
      <c r="J79" s="14">
        <f>1/1.478</f>
        <v>0.67658998646820023</v>
      </c>
      <c r="K79" s="14">
        <f>1/1.439</f>
        <v>0.69492703266157052</v>
      </c>
    </row>
    <row r="80" spans="1:12">
      <c r="A80" s="3" t="s">
        <v>0</v>
      </c>
      <c r="B80" s="3">
        <v>1</v>
      </c>
      <c r="C80" s="3">
        <f t="shared" si="9"/>
        <v>1.8</v>
      </c>
      <c r="D80" s="3">
        <f t="shared" si="10"/>
        <v>3.3</v>
      </c>
      <c r="E80" s="3">
        <f t="shared" si="11"/>
        <v>3.2</v>
      </c>
      <c r="F80" s="8">
        <f>1/2.194</f>
        <v>0.45578851412944393</v>
      </c>
      <c r="G80" s="8">
        <f>Sheet2!G11</f>
        <v>0.58616647127784294</v>
      </c>
      <c r="H80" s="8">
        <f>1/1.554</f>
        <v>0.64350064350064351</v>
      </c>
      <c r="I80" s="8">
        <f>1/1.445</f>
        <v>0.69204152249134943</v>
      </c>
      <c r="J80" s="8">
        <f>1/1.348</f>
        <v>0.74183976261127593</v>
      </c>
      <c r="K80" s="8">
        <f>1/1.281</f>
        <v>0.78064012490242007</v>
      </c>
    </row>
    <row r="81" spans="1:11" s="4" customFormat="1">
      <c r="A81" s="4" t="s">
        <v>1</v>
      </c>
      <c r="B81" s="4">
        <v>1</v>
      </c>
      <c r="C81" s="4">
        <f t="shared" si="9"/>
        <v>1.8</v>
      </c>
      <c r="D81" s="4">
        <f t="shared" si="10"/>
        <v>3.3</v>
      </c>
      <c r="E81" s="4">
        <f t="shared" si="11"/>
        <v>3.2</v>
      </c>
      <c r="F81" s="10">
        <f>1/2.028</f>
        <v>0.49309664694280081</v>
      </c>
      <c r="G81" s="10">
        <f>Sheet2!G12</f>
        <v>0.58548009367681497</v>
      </c>
      <c r="H81" s="10">
        <f>1/1.585</f>
        <v>0.63091482649842268</v>
      </c>
      <c r="I81" s="10">
        <f>1/1.478</f>
        <v>0.67658998646820023</v>
      </c>
      <c r="J81" s="10">
        <f>1/1.392</f>
        <v>0.71839080459770122</v>
      </c>
      <c r="K81" s="10">
        <f>1/1.324</f>
        <v>0.75528700906344404</v>
      </c>
    </row>
    <row r="82" spans="1:11" s="7" customFormat="1">
      <c r="A82" s="7" t="s">
        <v>2</v>
      </c>
      <c r="B82" s="7">
        <v>1</v>
      </c>
      <c r="C82" s="7">
        <f t="shared" si="9"/>
        <v>1.8</v>
      </c>
      <c r="D82" s="7">
        <f t="shared" si="10"/>
        <v>3.3</v>
      </c>
      <c r="E82" s="7">
        <f t="shared" si="11"/>
        <v>3.2</v>
      </c>
      <c r="F82" s="12">
        <f>1/1.877</f>
        <v>0.53276505061267976</v>
      </c>
      <c r="G82" s="12">
        <f>Sheet2!G13</f>
        <v>0.60024009603841544</v>
      </c>
      <c r="H82" s="12">
        <f>1/1.572</f>
        <v>0.63613231552162852</v>
      </c>
      <c r="I82" s="12">
        <f>1/1.478</f>
        <v>0.67658998646820023</v>
      </c>
      <c r="J82" s="12">
        <f>1/1.408</f>
        <v>0.71022727272727282</v>
      </c>
      <c r="K82" s="12">
        <f>1/1.346</f>
        <v>0.74294205052005935</v>
      </c>
    </row>
    <row r="83" spans="1:11" s="5" customFormat="1">
      <c r="A83" s="5" t="s">
        <v>3</v>
      </c>
      <c r="B83" s="5">
        <v>1</v>
      </c>
      <c r="C83" s="5">
        <f t="shared" si="9"/>
        <v>1.8</v>
      </c>
      <c r="D83" s="5">
        <f t="shared" si="10"/>
        <v>3.3</v>
      </c>
      <c r="E83" s="5">
        <f t="shared" si="11"/>
        <v>3.2</v>
      </c>
      <c r="F83" s="14">
        <f>1/1.645</f>
        <v>0.60790273556231</v>
      </c>
      <c r="G83" s="14">
        <f>Sheet2!G14</f>
        <v>0.6402048655569782</v>
      </c>
      <c r="H83" s="14">
        <f>1/1.515</f>
        <v>0.66006600660066006</v>
      </c>
      <c r="I83" s="14">
        <f>1/1.454</f>
        <v>0.68775790921595603</v>
      </c>
      <c r="J83" s="14">
        <f>1/1.407</f>
        <v>0.71073205401563611</v>
      </c>
      <c r="K83" s="14">
        <f>1/1.361</f>
        <v>0.73475385745775168</v>
      </c>
    </row>
    <row r="84" spans="1:11">
      <c r="A84" s="3" t="s">
        <v>0</v>
      </c>
      <c r="B84" s="3">
        <v>1.05</v>
      </c>
      <c r="C84" s="3">
        <f t="shared" ref="C84:C87" si="12">1.8*B84</f>
        <v>1.8900000000000001</v>
      </c>
      <c r="D84" s="3">
        <f t="shared" ref="D84:D87" si="13">3.3*B84</f>
        <v>3.4649999999999999</v>
      </c>
      <c r="E84" s="3">
        <f t="shared" ref="E84:E87" si="14">3.2*B84</f>
        <v>3.3600000000000003</v>
      </c>
      <c r="F84" s="8">
        <f>1/2.11</f>
        <v>0.47393364928909953</v>
      </c>
      <c r="G84" s="8">
        <f>Sheet2!G15</f>
        <v>0.6082725060827251</v>
      </c>
      <c r="H84" s="8">
        <f>1/1.5</f>
        <v>0.66666666666666663</v>
      </c>
      <c r="I84" s="8">
        <f>1/1.402</f>
        <v>0.71326676176890158</v>
      </c>
      <c r="J84" s="8">
        <f>1/1.305</f>
        <v>0.76628352490421459</v>
      </c>
      <c r="K84" s="8">
        <f>1/1.248</f>
        <v>0.80128205128205132</v>
      </c>
    </row>
    <row r="85" spans="1:11" s="4" customFormat="1">
      <c r="A85" s="4" t="s">
        <v>1</v>
      </c>
      <c r="B85" s="4">
        <v>1.05</v>
      </c>
      <c r="C85" s="4">
        <f t="shared" si="12"/>
        <v>1.8900000000000001</v>
      </c>
      <c r="D85" s="4">
        <f t="shared" si="13"/>
        <v>3.4649999999999999</v>
      </c>
      <c r="E85" s="4">
        <f t="shared" si="14"/>
        <v>3.3600000000000003</v>
      </c>
      <c r="F85" s="10">
        <f>1/1.96</f>
        <v>0.51020408163265307</v>
      </c>
      <c r="G85" s="10">
        <f>Sheet2!G16</f>
        <v>0.60642813826561548</v>
      </c>
      <c r="H85" s="10">
        <f>1/1.532</f>
        <v>0.65274151436031336</v>
      </c>
      <c r="I85" s="10">
        <f>1/1.43</f>
        <v>0.69930069930069938</v>
      </c>
      <c r="J85" s="10">
        <f>1/1.343</f>
        <v>0.74460163812360391</v>
      </c>
      <c r="K85" s="10">
        <f>1/1.286</f>
        <v>0.77760497667185069</v>
      </c>
    </row>
    <row r="86" spans="1:11" s="7" customFormat="1">
      <c r="A86" s="7" t="s">
        <v>2</v>
      </c>
      <c r="B86" s="7">
        <v>1.05</v>
      </c>
      <c r="C86" s="7">
        <f t="shared" si="12"/>
        <v>1.8900000000000001</v>
      </c>
      <c r="D86" s="7">
        <f t="shared" si="13"/>
        <v>3.4649999999999999</v>
      </c>
      <c r="E86" s="7">
        <f t="shared" si="14"/>
        <v>3.3600000000000003</v>
      </c>
      <c r="F86" s="12">
        <f>1/1.823</f>
        <v>0.54854635216675807</v>
      </c>
      <c r="G86" s="12">
        <f>Sheet2!G17</f>
        <v>0.61881188118811881</v>
      </c>
      <c r="H86" s="12">
        <f>1/1.526</f>
        <v>0.65530799475753598</v>
      </c>
      <c r="I86" s="12">
        <f>1/1.436</f>
        <v>0.69637883008356549</v>
      </c>
      <c r="J86" s="12">
        <f>1/1.363</f>
        <v>0.73367571533382248</v>
      </c>
      <c r="K86" s="12">
        <f>1/1.309</f>
        <v>0.76394194041252872</v>
      </c>
    </row>
    <row r="87" spans="1:11" s="5" customFormat="1">
      <c r="A87" s="5" t="s">
        <v>3</v>
      </c>
      <c r="B87" s="5">
        <v>1.05</v>
      </c>
      <c r="C87" s="5">
        <f t="shared" si="12"/>
        <v>1.8900000000000001</v>
      </c>
      <c r="D87" s="5">
        <f t="shared" si="13"/>
        <v>3.4649999999999999</v>
      </c>
      <c r="E87" s="5">
        <f t="shared" si="14"/>
        <v>3.3600000000000003</v>
      </c>
      <c r="F87" s="14">
        <f>1/1.615</f>
        <v>0.61919504643962853</v>
      </c>
      <c r="G87" s="14">
        <f>Sheet2!G18</f>
        <v>0.65616797900262469</v>
      </c>
      <c r="H87" s="14">
        <f>1/1.475</f>
        <v>0.67796610169491522</v>
      </c>
      <c r="I87" s="15">
        <f>1/1.416</f>
        <v>0.70621468926553677</v>
      </c>
      <c r="J87" s="14">
        <f>1/1.365</f>
        <v>0.73260073260073255</v>
      </c>
      <c r="K87" s="14">
        <f>1/1.324</f>
        <v>0.75528700906344404</v>
      </c>
    </row>
    <row r="88" spans="1:11">
      <c r="A88" s="3" t="s">
        <v>0</v>
      </c>
      <c r="B88" s="3">
        <v>1.1000000000000001</v>
      </c>
      <c r="C88" s="3">
        <f t="shared" ref="C88:C91" si="15">1.8*B88</f>
        <v>1.9800000000000002</v>
      </c>
      <c r="D88" s="3">
        <f t="shared" ref="D88:D91" si="16">3.3*B88</f>
        <v>3.63</v>
      </c>
      <c r="E88" s="3">
        <f t="shared" ref="E88:E91" si="17">3.2*B88</f>
        <v>3.5200000000000005</v>
      </c>
      <c r="F88" s="9">
        <f>1/2.046</f>
        <v>0.48875855327468237</v>
      </c>
      <c r="G88" s="8">
        <f>Sheet2!G19</f>
        <v>0.62578222778473092</v>
      </c>
      <c r="H88" s="8">
        <f>1/1.46</f>
        <v>0.68493150684931503</v>
      </c>
      <c r="I88" s="8">
        <f>1/1.364</f>
        <v>0.73313782991202336</v>
      </c>
      <c r="J88" s="8">
        <f>1/1.281</f>
        <v>0.78064012490242007</v>
      </c>
      <c r="K88" s="8">
        <f>1/1.227</f>
        <v>0.81499592502037488</v>
      </c>
    </row>
    <row r="89" spans="1:11" s="4" customFormat="1">
      <c r="A89" s="4" t="s">
        <v>1</v>
      </c>
      <c r="B89" s="4">
        <v>1.1000000000000001</v>
      </c>
      <c r="C89" s="4">
        <f t="shared" si="15"/>
        <v>1.9800000000000002</v>
      </c>
      <c r="D89" s="4">
        <f t="shared" si="16"/>
        <v>3.63</v>
      </c>
      <c r="E89" s="4">
        <f t="shared" si="17"/>
        <v>3.5200000000000005</v>
      </c>
      <c r="F89" s="10">
        <f>1/1.911</f>
        <v>0.52328623757195181</v>
      </c>
      <c r="G89" s="10">
        <f>Sheet2!G20</f>
        <v>0.62227753578095835</v>
      </c>
      <c r="H89" s="10">
        <f>1/1.494</f>
        <v>0.66934404283801874</v>
      </c>
      <c r="I89" s="10">
        <f>1/1.397</f>
        <v>0.71581961345740874</v>
      </c>
      <c r="J89" s="10">
        <f>1/1.315</f>
        <v>0.76045627376425862</v>
      </c>
      <c r="K89" s="10">
        <f>1/1.262</f>
        <v>0.79239302694136293</v>
      </c>
    </row>
    <row r="90" spans="1:11" s="7" customFormat="1">
      <c r="A90" s="7" t="s">
        <v>2</v>
      </c>
      <c r="B90" s="7">
        <v>1.1000000000000001</v>
      </c>
      <c r="C90" s="7">
        <f t="shared" si="15"/>
        <v>1.9800000000000002</v>
      </c>
      <c r="D90" s="7">
        <f t="shared" si="16"/>
        <v>3.63</v>
      </c>
      <c r="E90" s="7">
        <f t="shared" si="17"/>
        <v>3.5200000000000005</v>
      </c>
      <c r="F90" s="13">
        <f>1/1.786</f>
        <v>0.55991041433370659</v>
      </c>
      <c r="G90" s="12">
        <f>Sheet2!G21</f>
        <v>0.63291139240506322</v>
      </c>
      <c r="H90" s="12">
        <f>1/1.493</f>
        <v>0.66979236436704614</v>
      </c>
      <c r="I90" s="12">
        <f>1/1.407</f>
        <v>0.71073205401563611</v>
      </c>
      <c r="J90" s="13">
        <f>1/1.336</f>
        <v>0.74850299401197595</v>
      </c>
      <c r="K90" s="12">
        <f>1/1.287</f>
        <v>0.77700077700077708</v>
      </c>
    </row>
    <row r="91" spans="1:11" s="5" customFormat="1">
      <c r="A91" s="5" t="s">
        <v>3</v>
      </c>
      <c r="B91" s="5">
        <v>1.1000000000000001</v>
      </c>
      <c r="C91" s="5">
        <f t="shared" si="15"/>
        <v>1.9800000000000002</v>
      </c>
      <c r="D91" s="5">
        <f t="shared" si="16"/>
        <v>3.63</v>
      </c>
      <c r="E91" s="5">
        <f t="shared" si="17"/>
        <v>3.5200000000000005</v>
      </c>
      <c r="F91" s="14">
        <f>1/1.591</f>
        <v>0.62853551225644255</v>
      </c>
      <c r="G91" s="14">
        <f>Sheet2!G22</f>
        <v>0.66755674232309747</v>
      </c>
      <c r="H91" s="14">
        <f>1/1.45</f>
        <v>0.68965517241379315</v>
      </c>
      <c r="I91" s="14">
        <f>1/1.39</f>
        <v>0.71942446043165476</v>
      </c>
      <c r="J91" s="14">
        <f>1/1.342</f>
        <v>0.7451564828614009</v>
      </c>
      <c r="K91" s="14">
        <f>1/1.304</f>
        <v>0.76687116564417179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Suyao Ji</cp:lastModifiedBy>
  <dcterms:created xsi:type="dcterms:W3CDTF">2015-11-16T21:18:06Z</dcterms:created>
  <dcterms:modified xsi:type="dcterms:W3CDTF">2015-12-01T05:48:09Z</dcterms:modified>
</cp:coreProperties>
</file>