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4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5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charts/colors1.xml" ContentType="application/vnd.ms-office.chartcolorstyle+xml"/>
  <Override PartName="/xl/charts/style2.xml" ContentType="application/vnd.ms-office.chartstyle+xml"/>
  <Override PartName="/xl/charts/colors2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23"/>
  <workbookPr autoCompressPictures="0"/>
  <bookViews>
    <workbookView xWindow="4160" yWindow="0" windowWidth="23760" windowHeight="16280" activeTab="1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2" i="4" l="1"/>
  <c r="K21" i="4"/>
  <c r="K20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3" i="4"/>
  <c r="A53" i="4"/>
  <c r="G27" i="4"/>
  <c r="G26" i="4"/>
  <c r="G25" i="4"/>
  <c r="G24" i="4"/>
  <c r="G23" i="4"/>
  <c r="G22" i="4"/>
  <c r="G21" i="4"/>
  <c r="G20" i="4"/>
  <c r="G19" i="4"/>
  <c r="G18" i="4"/>
  <c r="C53" i="4"/>
  <c r="G17" i="4"/>
  <c r="G12" i="4"/>
  <c r="G13" i="4"/>
  <c r="G3" i="4"/>
  <c r="G4" i="4"/>
  <c r="G5" i="4"/>
  <c r="G6" i="4"/>
  <c r="G7" i="4"/>
  <c r="G8" i="4"/>
  <c r="G9" i="4"/>
  <c r="G10" i="4"/>
  <c r="G11" i="4"/>
  <c r="G14" i="4"/>
  <c r="G15" i="4"/>
  <c r="G16" i="4"/>
  <c r="G30" i="4"/>
  <c r="G2" i="4"/>
  <c r="H31" i="4"/>
  <c r="H32" i="4"/>
  <c r="H3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" i="4"/>
  <c r="I32" i="5"/>
  <c r="I33" i="5"/>
  <c r="I34" i="5"/>
  <c r="I35" i="5"/>
  <c r="I31" i="5"/>
  <c r="I4" i="5"/>
  <c r="I5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G32" i="5"/>
  <c r="G33" i="5"/>
  <c r="G34" i="5"/>
  <c r="G35" i="5"/>
  <c r="G31" i="5"/>
  <c r="E35" i="5"/>
  <c r="D35" i="5"/>
  <c r="C35" i="5"/>
  <c r="E34" i="5"/>
  <c r="D34" i="5"/>
  <c r="C34" i="5"/>
  <c r="E33" i="5"/>
  <c r="D33" i="5"/>
  <c r="C33" i="5"/>
  <c r="E32" i="5"/>
  <c r="D32" i="5"/>
  <c r="C32" i="5"/>
  <c r="E31" i="5"/>
  <c r="D31" i="5"/>
  <c r="C31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3" i="5"/>
  <c r="F5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4" i="5"/>
  <c r="C27" i="5"/>
  <c r="D27" i="5"/>
  <c r="E2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7" i="5"/>
  <c r="D7" i="5"/>
  <c r="E7" i="5"/>
  <c r="C8" i="5"/>
  <c r="E6" i="5"/>
  <c r="D6" i="5"/>
  <c r="C6" i="5"/>
  <c r="E5" i="5"/>
  <c r="D5" i="5"/>
  <c r="C5" i="5"/>
  <c r="E4" i="5"/>
  <c r="D4" i="5"/>
  <c r="C4" i="5"/>
  <c r="E3" i="5"/>
  <c r="D3" i="5"/>
  <c r="C3" i="5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20" i="4"/>
  <c r="J121" i="4"/>
  <c r="J122" i="4"/>
  <c r="J123" i="4"/>
  <c r="J124" i="4"/>
  <c r="J125" i="4"/>
  <c r="J126" i="4"/>
  <c r="J127" i="4"/>
  <c r="J128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29" i="4"/>
  <c r="C45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3" i="4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72" i="3"/>
  <c r="K91" i="3"/>
  <c r="J91" i="3"/>
  <c r="I91" i="3"/>
  <c r="H91" i="3"/>
  <c r="F91" i="3"/>
  <c r="E91" i="3"/>
  <c r="D91" i="3"/>
  <c r="C91" i="3"/>
  <c r="K87" i="3"/>
  <c r="J87" i="3"/>
  <c r="I87" i="3"/>
  <c r="H87" i="3"/>
  <c r="F87" i="3"/>
  <c r="E87" i="3"/>
  <c r="D87" i="3"/>
  <c r="C87" i="3"/>
  <c r="K83" i="3"/>
  <c r="J83" i="3"/>
  <c r="I83" i="3"/>
  <c r="H83" i="3"/>
  <c r="F83" i="3"/>
  <c r="E83" i="3"/>
  <c r="D83" i="3"/>
  <c r="C83" i="3"/>
  <c r="K90" i="3"/>
  <c r="J90" i="3"/>
  <c r="I90" i="3"/>
  <c r="H90" i="3"/>
  <c r="F90" i="3"/>
  <c r="E90" i="3"/>
  <c r="D90" i="3"/>
  <c r="C90" i="3"/>
  <c r="K86" i="3"/>
  <c r="J86" i="3"/>
  <c r="I86" i="3"/>
  <c r="H86" i="3"/>
  <c r="F86" i="3"/>
  <c r="E86" i="3"/>
  <c r="D86" i="3"/>
  <c r="C86" i="3"/>
  <c r="K82" i="3"/>
  <c r="J82" i="3"/>
  <c r="I82" i="3"/>
  <c r="H82" i="3"/>
  <c r="F82" i="3"/>
  <c r="E82" i="3"/>
  <c r="D82" i="3"/>
  <c r="C82" i="3"/>
  <c r="K89" i="3"/>
  <c r="J89" i="3"/>
  <c r="I89" i="3"/>
  <c r="H89" i="3"/>
  <c r="F89" i="3"/>
  <c r="E89" i="3"/>
  <c r="D89" i="3"/>
  <c r="C89" i="3"/>
  <c r="K85" i="3"/>
  <c r="J85" i="3"/>
  <c r="I85" i="3"/>
  <c r="H85" i="3"/>
  <c r="F85" i="3"/>
  <c r="E85" i="3"/>
  <c r="D85" i="3"/>
  <c r="C85" i="3"/>
  <c r="K81" i="3"/>
  <c r="J81" i="3"/>
  <c r="I81" i="3"/>
  <c r="H81" i="3"/>
  <c r="F81" i="3"/>
  <c r="E81" i="3"/>
  <c r="D81" i="3"/>
  <c r="C81" i="3"/>
  <c r="K88" i="3"/>
  <c r="J88" i="3"/>
  <c r="I88" i="3"/>
  <c r="H88" i="3"/>
  <c r="F88" i="3"/>
  <c r="E88" i="3"/>
  <c r="D88" i="3"/>
  <c r="C88" i="3"/>
  <c r="K84" i="3"/>
  <c r="J84" i="3"/>
  <c r="I84" i="3"/>
  <c r="H84" i="3"/>
  <c r="F84" i="3"/>
  <c r="E84" i="3"/>
  <c r="D84" i="3"/>
  <c r="C84" i="3"/>
  <c r="K80" i="3"/>
  <c r="J80" i="3"/>
  <c r="I80" i="3"/>
  <c r="H80" i="3"/>
  <c r="F80" i="3"/>
  <c r="E80" i="3"/>
  <c r="D80" i="3"/>
  <c r="C80" i="3"/>
  <c r="K79" i="3"/>
  <c r="J79" i="3"/>
  <c r="I79" i="3"/>
  <c r="H79" i="3"/>
  <c r="F79" i="3"/>
  <c r="E79" i="3"/>
  <c r="D79" i="3"/>
  <c r="C79" i="3"/>
  <c r="K78" i="3"/>
  <c r="J78" i="3"/>
  <c r="I78" i="3"/>
  <c r="H78" i="3"/>
  <c r="F78" i="3"/>
  <c r="E78" i="3"/>
  <c r="D78" i="3"/>
  <c r="C78" i="3"/>
  <c r="K77" i="3"/>
  <c r="J77" i="3"/>
  <c r="I77" i="3"/>
  <c r="H77" i="3"/>
  <c r="F77" i="3"/>
  <c r="E77" i="3"/>
  <c r="D77" i="3"/>
  <c r="C77" i="3"/>
  <c r="K76" i="3"/>
  <c r="J76" i="3"/>
  <c r="I76" i="3"/>
  <c r="H76" i="3"/>
  <c r="F76" i="3"/>
  <c r="E76" i="3"/>
  <c r="D76" i="3"/>
  <c r="C76" i="3"/>
  <c r="K75" i="3"/>
  <c r="J75" i="3"/>
  <c r="I75" i="3"/>
  <c r="H75" i="3"/>
  <c r="F75" i="3"/>
  <c r="E75" i="3"/>
  <c r="D75" i="3"/>
  <c r="C75" i="3"/>
  <c r="K74" i="3"/>
  <c r="J74" i="3"/>
  <c r="I74" i="3"/>
  <c r="H74" i="3"/>
  <c r="F74" i="3"/>
  <c r="E74" i="3"/>
  <c r="D74" i="3"/>
  <c r="C74" i="3"/>
  <c r="K73" i="3"/>
  <c r="J73" i="3"/>
  <c r="I73" i="3"/>
  <c r="H73" i="3"/>
  <c r="F73" i="3"/>
  <c r="E73" i="3"/>
  <c r="D73" i="3"/>
  <c r="C73" i="3"/>
  <c r="K72" i="3"/>
  <c r="J72" i="3"/>
  <c r="I72" i="3"/>
  <c r="H72" i="3"/>
  <c r="F72" i="3"/>
  <c r="E72" i="3"/>
  <c r="D72" i="3"/>
  <c r="C72" i="3"/>
  <c r="K6" i="3"/>
  <c r="K16" i="3"/>
  <c r="K21" i="3"/>
  <c r="K11" i="3"/>
  <c r="K15" i="3"/>
  <c r="K5" i="3"/>
  <c r="K20" i="3"/>
  <c r="K10" i="3"/>
  <c r="K14" i="3"/>
  <c r="K4" i="3"/>
  <c r="K19" i="3"/>
  <c r="K9" i="3"/>
  <c r="K12" i="3"/>
  <c r="K2" i="3"/>
  <c r="K17" i="3"/>
  <c r="K7" i="3"/>
  <c r="K13" i="3"/>
  <c r="K3" i="3"/>
  <c r="K18" i="3"/>
  <c r="K8" i="3"/>
  <c r="J13" i="3"/>
  <c r="J3" i="3"/>
  <c r="J8" i="3"/>
  <c r="J18" i="3"/>
  <c r="J16" i="3"/>
  <c r="J6" i="3"/>
  <c r="J21" i="3"/>
  <c r="J11" i="3"/>
  <c r="J15" i="3"/>
  <c r="J5" i="3"/>
  <c r="J20" i="3"/>
  <c r="J10" i="3"/>
  <c r="J14" i="3"/>
  <c r="J4" i="3"/>
  <c r="J19" i="3"/>
  <c r="J9" i="3"/>
  <c r="J12" i="3"/>
  <c r="J2" i="3"/>
  <c r="J17" i="3"/>
  <c r="J7" i="3"/>
  <c r="I13" i="3"/>
  <c r="I8" i="3"/>
  <c r="I3" i="3"/>
  <c r="I18" i="3"/>
  <c r="I16" i="3"/>
  <c r="I6" i="3"/>
  <c r="I21" i="3"/>
  <c r="I11" i="3"/>
  <c r="I15" i="3"/>
  <c r="I5" i="3"/>
  <c r="I20" i="3"/>
  <c r="I10" i="3"/>
  <c r="I14" i="3"/>
  <c r="I4" i="3"/>
  <c r="I19" i="3"/>
  <c r="I9" i="3"/>
  <c r="I12" i="3"/>
  <c r="I2" i="3"/>
  <c r="I17" i="3"/>
  <c r="I7" i="3"/>
  <c r="H16" i="3"/>
  <c r="H17" i="3"/>
  <c r="H6" i="3"/>
  <c r="H21" i="3"/>
  <c r="H11" i="3"/>
  <c r="H15" i="3"/>
  <c r="H5" i="3"/>
  <c r="H20" i="3"/>
  <c r="H10" i="3"/>
  <c r="H14" i="3"/>
  <c r="H4" i="3"/>
  <c r="H19" i="3"/>
  <c r="H9" i="3"/>
  <c r="H12" i="3"/>
  <c r="H2" i="3"/>
  <c r="H7" i="3"/>
  <c r="H13" i="3"/>
  <c r="H3" i="3"/>
  <c r="H18" i="3"/>
  <c r="H8" i="3"/>
  <c r="F13" i="3"/>
  <c r="F8" i="3"/>
  <c r="F3" i="3"/>
  <c r="F6" i="3"/>
  <c r="F18" i="3"/>
  <c r="F4" i="3"/>
  <c r="F16" i="3"/>
  <c r="F21" i="3"/>
  <c r="F11" i="3"/>
  <c r="F15" i="3"/>
  <c r="F5" i="3"/>
  <c r="F10" i="3"/>
  <c r="F20" i="3"/>
  <c r="F19" i="3"/>
  <c r="F14" i="3"/>
  <c r="F9" i="3"/>
  <c r="F17" i="3"/>
  <c r="F12" i="3"/>
  <c r="F7" i="3"/>
  <c r="F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" i="3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26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3" i="2"/>
  <c r="D45" i="2"/>
  <c r="C45" i="2"/>
  <c r="B45" i="2"/>
  <c r="D44" i="2"/>
  <c r="C44" i="2"/>
  <c r="B44" i="2"/>
  <c r="D43" i="2"/>
  <c r="C43" i="2"/>
  <c r="B43" i="2"/>
  <c r="D42" i="2"/>
  <c r="C42" i="2"/>
  <c r="B42" i="2"/>
  <c r="D41" i="2"/>
  <c r="C41" i="2"/>
  <c r="B41" i="2"/>
  <c r="M45" i="2"/>
  <c r="K45" i="2"/>
  <c r="I45" i="2"/>
  <c r="M44" i="2"/>
  <c r="K44" i="2"/>
  <c r="I44" i="2"/>
  <c r="M43" i="2"/>
  <c r="K43" i="2"/>
  <c r="I43" i="2"/>
  <c r="M42" i="2"/>
  <c r="K42" i="2"/>
  <c r="I42" i="2"/>
  <c r="M41" i="2"/>
  <c r="K41" i="2"/>
  <c r="I41" i="2"/>
  <c r="D36" i="2"/>
  <c r="C36" i="2"/>
  <c r="B36" i="2"/>
  <c r="M36" i="2"/>
  <c r="K36" i="2"/>
  <c r="I36" i="2"/>
  <c r="D35" i="2"/>
  <c r="C35" i="2"/>
  <c r="B35" i="2"/>
  <c r="D34" i="2"/>
  <c r="C34" i="2"/>
  <c r="B34" i="2"/>
  <c r="D33" i="2"/>
  <c r="C33" i="2"/>
  <c r="B33" i="2"/>
  <c r="D32" i="2"/>
  <c r="C32" i="2"/>
  <c r="B32" i="2"/>
  <c r="D31" i="2"/>
  <c r="C31" i="2"/>
  <c r="B31" i="2"/>
  <c r="M35" i="2"/>
  <c r="K35" i="2"/>
  <c r="I35" i="2"/>
  <c r="M34" i="2"/>
  <c r="K34" i="2"/>
  <c r="I34" i="2"/>
  <c r="M32" i="2"/>
  <c r="K32" i="2"/>
  <c r="I32" i="2"/>
  <c r="M33" i="2"/>
  <c r="K33" i="2"/>
  <c r="I33" i="2"/>
  <c r="M31" i="2"/>
  <c r="K31" i="2"/>
  <c r="I31" i="2"/>
  <c r="D40" i="2"/>
  <c r="C40" i="2"/>
  <c r="B40" i="2"/>
  <c r="D39" i="2"/>
  <c r="C39" i="2"/>
  <c r="B39" i="2"/>
  <c r="D38" i="2"/>
  <c r="C38" i="2"/>
  <c r="B38" i="2"/>
  <c r="D37" i="2"/>
  <c r="C37" i="2"/>
  <c r="B37" i="2"/>
  <c r="M40" i="2"/>
  <c r="K40" i="2"/>
  <c r="I40" i="2"/>
  <c r="M39" i="2"/>
  <c r="K39" i="2"/>
  <c r="I39" i="2"/>
  <c r="M38" i="2"/>
  <c r="K38" i="2"/>
  <c r="I38" i="2"/>
  <c r="M37" i="2"/>
  <c r="K37" i="2"/>
  <c r="I37" i="2"/>
  <c r="M30" i="2"/>
  <c r="K30" i="2"/>
  <c r="I30" i="2"/>
  <c r="D30" i="2"/>
  <c r="C30" i="2"/>
  <c r="B30" i="2"/>
  <c r="M29" i="2"/>
  <c r="K29" i="2"/>
  <c r="I29" i="2"/>
  <c r="D29" i="2"/>
  <c r="C29" i="2"/>
  <c r="B29" i="2"/>
  <c r="M28" i="2"/>
  <c r="K28" i="2"/>
  <c r="I28" i="2"/>
  <c r="D28" i="2"/>
  <c r="C28" i="2"/>
  <c r="B28" i="2"/>
  <c r="M27" i="2"/>
  <c r="K27" i="2"/>
  <c r="I27" i="2"/>
  <c r="D27" i="2"/>
  <c r="C27" i="2"/>
  <c r="B27" i="2"/>
  <c r="M26" i="2"/>
  <c r="K26" i="2"/>
  <c r="I26" i="2"/>
  <c r="D26" i="2"/>
  <c r="C26" i="2"/>
  <c r="B26" i="2"/>
  <c r="E21" i="3"/>
  <c r="D21" i="3"/>
  <c r="C21" i="3"/>
  <c r="E20" i="3"/>
  <c r="D20" i="3"/>
  <c r="C20" i="3"/>
  <c r="E19" i="3"/>
  <c r="D19" i="3"/>
  <c r="C19" i="3"/>
  <c r="E18" i="3"/>
  <c r="D18" i="3"/>
  <c r="C18" i="3"/>
  <c r="E17" i="3"/>
  <c r="D17" i="3"/>
  <c r="C17" i="3"/>
  <c r="E16" i="3"/>
  <c r="D16" i="3"/>
  <c r="C16" i="3"/>
  <c r="E15" i="3"/>
  <c r="D15" i="3"/>
  <c r="C15" i="3"/>
  <c r="E14" i="3"/>
  <c r="D14" i="3"/>
  <c r="C14" i="3"/>
  <c r="E13" i="3"/>
  <c r="D13" i="3"/>
  <c r="C13" i="3"/>
  <c r="E12" i="3"/>
  <c r="D12" i="3"/>
  <c r="C12" i="3"/>
  <c r="E11" i="3"/>
  <c r="D11" i="3"/>
  <c r="C11" i="3"/>
  <c r="E10" i="3"/>
  <c r="D10" i="3"/>
  <c r="C10" i="3"/>
  <c r="E9" i="3"/>
  <c r="D9" i="3"/>
  <c r="C9" i="3"/>
  <c r="E8" i="3"/>
  <c r="D8" i="3"/>
  <c r="C8" i="3"/>
  <c r="E7" i="3"/>
  <c r="D7" i="3"/>
  <c r="C7" i="3"/>
  <c r="E5" i="3"/>
  <c r="E6" i="3"/>
  <c r="D5" i="3"/>
  <c r="D6" i="3"/>
  <c r="C5" i="3"/>
  <c r="C6" i="3"/>
  <c r="E4" i="3"/>
  <c r="D4" i="3"/>
  <c r="C4" i="3"/>
  <c r="E3" i="3"/>
  <c r="D3" i="3"/>
  <c r="C3" i="3"/>
  <c r="E2" i="3"/>
  <c r="D2" i="3"/>
  <c r="C2" i="3"/>
  <c r="K7" i="2"/>
  <c r="K8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K4" i="2"/>
  <c r="K5" i="2"/>
  <c r="K6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M3" i="2"/>
  <c r="K3" i="2"/>
  <c r="I18" i="2"/>
  <c r="I19" i="2"/>
  <c r="I20" i="2"/>
  <c r="I21" i="2"/>
  <c r="I22" i="2"/>
  <c r="I7" i="2"/>
  <c r="I8" i="2"/>
  <c r="I9" i="2"/>
  <c r="I10" i="2"/>
  <c r="I11" i="2"/>
  <c r="I12" i="2"/>
  <c r="I4" i="2"/>
  <c r="I5" i="2"/>
  <c r="I6" i="2"/>
  <c r="I13" i="2"/>
  <c r="I14" i="2"/>
  <c r="I15" i="2"/>
  <c r="I16" i="2"/>
  <c r="I17" i="2"/>
  <c r="I3" i="2"/>
  <c r="D7" i="2"/>
  <c r="D11" i="2"/>
  <c r="D15" i="2"/>
  <c r="D19" i="2"/>
  <c r="D3" i="2"/>
  <c r="C7" i="2"/>
  <c r="C11" i="2"/>
  <c r="C15" i="2"/>
  <c r="C19" i="2"/>
  <c r="C3" i="2"/>
  <c r="B7" i="2"/>
  <c r="B11" i="2"/>
  <c r="B15" i="2"/>
  <c r="B19" i="2"/>
  <c r="B3" i="2"/>
  <c r="I3" i="1"/>
  <c r="I4" i="1"/>
  <c r="H3" i="1"/>
  <c r="H4" i="1"/>
  <c r="J3" i="1"/>
  <c r="J4" i="1"/>
  <c r="G3" i="1"/>
  <c r="G4" i="1"/>
  <c r="J9" i="1"/>
  <c r="J10" i="1"/>
  <c r="J8" i="1"/>
  <c r="I9" i="1"/>
  <c r="I10" i="1"/>
  <c r="I8" i="1"/>
  <c r="H9" i="1"/>
  <c r="H10" i="1"/>
  <c r="H8" i="1"/>
  <c r="G10" i="1"/>
  <c r="G9" i="1"/>
  <c r="G8" i="1"/>
  <c r="E39" i="1"/>
  <c r="D39" i="1"/>
  <c r="C39" i="1"/>
  <c r="B39" i="1"/>
  <c r="E38" i="1"/>
  <c r="D38" i="1"/>
  <c r="C38" i="1"/>
  <c r="E37" i="1"/>
  <c r="D37" i="1"/>
  <c r="C37" i="1"/>
  <c r="B37" i="1"/>
  <c r="E42" i="1"/>
  <c r="D42" i="1"/>
  <c r="C42" i="1"/>
  <c r="B42" i="1"/>
  <c r="E41" i="1"/>
  <c r="D41" i="1"/>
  <c r="C41" i="1"/>
  <c r="B41" i="1"/>
  <c r="E40" i="1"/>
  <c r="D40" i="1"/>
  <c r="C40" i="1"/>
  <c r="B40" i="1"/>
  <c r="E2" i="1"/>
  <c r="D2" i="1"/>
  <c r="C2" i="1"/>
  <c r="B2" i="1"/>
  <c r="E10" i="1"/>
  <c r="D10" i="1"/>
  <c r="C10" i="1"/>
  <c r="B10" i="1"/>
  <c r="E9" i="1"/>
  <c r="D9" i="1"/>
  <c r="C9" i="1"/>
  <c r="B9" i="1"/>
  <c r="E8" i="1"/>
  <c r="D8" i="1"/>
  <c r="C8" i="1"/>
  <c r="B8" i="1"/>
  <c r="E7" i="1"/>
  <c r="D7" i="1"/>
  <c r="C7" i="1"/>
  <c r="B7" i="1"/>
  <c r="E4" i="1"/>
  <c r="D4" i="1"/>
  <c r="C4" i="1"/>
  <c r="B4" i="1"/>
  <c r="E3" i="1"/>
  <c r="D3" i="1"/>
  <c r="C3" i="1"/>
</calcChain>
</file>

<file path=xl/sharedStrings.xml><?xml version="1.0" encoding="utf-8"?>
<sst xmlns="http://schemas.openxmlformats.org/spreadsheetml/2006/main" count="164" uniqueCount="40">
  <si>
    <t>0pF</t>
  </si>
  <si>
    <t>1pF</t>
  </si>
  <si>
    <t>2pF</t>
  </si>
  <si>
    <t>4pF</t>
  </si>
  <si>
    <t>time/ns</t>
  </si>
  <si>
    <t>slope</t>
  </si>
  <si>
    <t>PVT Measurement</t>
  </si>
  <si>
    <t>scale</t>
  </si>
  <si>
    <t>VDD_LOW</t>
  </si>
  <si>
    <t>VDD_HIGH</t>
  </si>
  <si>
    <t>PVDD</t>
  </si>
  <si>
    <t>bitline load</t>
  </si>
  <si>
    <t>1st Order fitting gain</t>
  </si>
  <si>
    <t>output differential fitting error(mV)</t>
  </si>
  <si>
    <t>ADC noise</t>
  </si>
  <si>
    <t>Readout Noise</t>
  </si>
  <si>
    <t>input referred ADC noise</t>
  </si>
  <si>
    <t>input referred readout noise</t>
  </si>
  <si>
    <t>input referred fitting error(mV)</t>
  </si>
  <si>
    <t>1st Order forward gain</t>
  </si>
  <si>
    <t>ns</t>
  </si>
  <si>
    <t>light readout</t>
  </si>
  <si>
    <t>light step</t>
  </si>
  <si>
    <t>weak 1204</t>
  </si>
  <si>
    <t>Temperature</t>
  </si>
  <si>
    <t>input referred differential Total Error (Sigma)</t>
  </si>
  <si>
    <t>1st Order Partial Settling Gain</t>
  </si>
  <si>
    <t>ADC Noise</t>
  </si>
  <si>
    <t>Readnoise</t>
  </si>
  <si>
    <t>input referred Total Error (Sigma)</t>
  </si>
  <si>
    <t>ADC input referred Noise</t>
  </si>
  <si>
    <t>Input Referred Noise</t>
  </si>
  <si>
    <t>p21 First Order fitting : input = 1.7046*output + 1.0357, output is normalized to [0,1]</t>
  </si>
  <si>
    <t>p12 First Order fitting : input = 1.676*output + 1.044, output is normalized to [0,1]</t>
  </si>
  <si>
    <t>1st Order Forward Gain</t>
  </si>
  <si>
    <t>noise</t>
  </si>
  <si>
    <t>signal slope</t>
  </si>
  <si>
    <t>noise slope</t>
  </si>
  <si>
    <t>noise square</t>
  </si>
  <si>
    <t>strong 1204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</si>
</sst>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2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4" tint="-0.499984740745262"/>
      <name val="Calibri"/>
      <scheme val="minor"/>
    </font>
    <font>
      <sz val="11"/>
      <color rgb="FFFF6600"/>
      <name val="Calibri"/>
      <scheme val="minor"/>
    </font>
    <font>
      <sz val="11"/>
      <color rgb="FF008000"/>
      <name val="Calibri"/>
      <scheme val="minor"/>
    </font>
    <font>
      <sz val="11"/>
      <color theme="1" tint="0.34998626667073579"/>
      <name val="Calibri"/>
      <scheme val="minor"/>
    </font>
    <font>
      <sz val="11"/>
      <color theme="1" tint="0.499984740745262"/>
      <name val="Calibri"/>
      <scheme val="minor"/>
    </font>
    <font>
      <sz val="11"/>
      <color theme="4" tint="-0.499984740745262"/>
      <name val="宋体"/>
      <charset val="134"/>
    </font>
    <font>
      <sz val="11"/>
      <color theme="1" tint="0.499984740745262"/>
      <name val="宋体"/>
      <charset val="134"/>
    </font>
    <font>
      <sz val="11"/>
      <color rgb="FF008000"/>
      <name val="宋体"/>
      <charset val="134"/>
    </font>
    <font>
      <sz val="11"/>
      <color rgb="FFFF6600"/>
      <name val="宋体"/>
      <charset val="134"/>
    </font>
    <font>
      <sz val="14"/>
      <color theme="1"/>
      <name val="Calibri"/>
      <scheme val="minor"/>
    </font>
    <font>
      <sz val="14"/>
      <color theme="4" tint="0.39997558519241921"/>
      <name val="Calibri"/>
      <scheme val="minor"/>
    </font>
    <font>
      <sz val="14"/>
      <color rgb="FF008000"/>
      <name val="Calibri"/>
      <scheme val="minor"/>
    </font>
    <font>
      <sz val="14"/>
      <color theme="4" tint="-0.249977111117893"/>
      <name val="Calibri"/>
      <scheme val="minor"/>
    </font>
    <font>
      <sz val="14"/>
      <color rgb="FF8CB0D3"/>
      <name val="Calibri"/>
      <scheme val="minor"/>
    </font>
    <font>
      <sz val="14"/>
      <color theme="5" tint="0.39997558519241921"/>
      <name val="Calibri"/>
      <scheme val="minor"/>
    </font>
    <font>
      <sz val="14"/>
      <color rgb="FFFF0000"/>
      <name val="Calibri"/>
      <scheme val="minor"/>
    </font>
    <font>
      <sz val="14"/>
      <color theme="5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8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3">
    <xf numFmtId="0" fontId="0" fillId="0" borderId="0" xfId="0"/>
    <xf numFmtId="49" fontId="0" fillId="0" borderId="0" xfId="0" applyNumberFormat="1" applyAlignment="1">
      <alignment wrapText="1"/>
    </xf>
    <xf numFmtId="0" fontId="0" fillId="0" borderId="0" xfId="0" applyAlignment="1">
      <alignment wrapText="1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164" fontId="3" fillId="0" borderId="0" xfId="0" applyNumberFormat="1" applyFont="1"/>
    <xf numFmtId="164" fontId="8" fillId="0" borderId="0" xfId="0" applyNumberFormat="1" applyFont="1"/>
    <xf numFmtId="164" fontId="4" fillId="0" borderId="0" xfId="0" applyNumberFormat="1" applyFont="1"/>
    <xf numFmtId="164" fontId="11" fillId="0" borderId="0" xfId="0" applyNumberFormat="1" applyFont="1"/>
    <xf numFmtId="164" fontId="7" fillId="0" borderId="0" xfId="0" applyNumberFormat="1" applyFont="1"/>
    <xf numFmtId="164" fontId="9" fillId="0" borderId="0" xfId="0" applyNumberFormat="1" applyFont="1"/>
    <xf numFmtId="164" fontId="5" fillId="0" borderId="0" xfId="0" applyNumberFormat="1" applyFont="1"/>
    <xf numFmtId="164" fontId="10" fillId="0" borderId="0" xfId="0" applyNumberFormat="1" applyFont="1"/>
    <xf numFmtId="164" fontId="0" fillId="0" borderId="0" xfId="0" applyNumberFormat="1"/>
    <xf numFmtId="164" fontId="6" fillId="0" borderId="0" xfId="0" applyNumberFormat="1" applyFont="1"/>
    <xf numFmtId="0" fontId="0" fillId="0" borderId="0" xfId="0" applyNumberFormat="1"/>
    <xf numFmtId="0" fontId="12" fillId="0" borderId="0" xfId="0" applyFont="1"/>
    <xf numFmtId="0" fontId="12" fillId="0" borderId="0" xfId="0" applyFont="1" applyAlignment="1">
      <alignment wrapText="1"/>
    </xf>
    <xf numFmtId="0" fontId="13" fillId="0" borderId="0" xfId="0" applyFont="1"/>
    <xf numFmtId="0" fontId="14" fillId="0" borderId="0" xfId="0" applyFont="1"/>
    <xf numFmtId="164" fontId="14" fillId="0" borderId="0" xfId="0" applyNumberFormat="1" applyFont="1"/>
    <xf numFmtId="0" fontId="15" fillId="0" borderId="0" xfId="0" applyFont="1"/>
    <xf numFmtId="164" fontId="15" fillId="0" borderId="0" xfId="0" applyNumberFormat="1" applyFont="1"/>
    <xf numFmtId="0" fontId="16" fillId="0" borderId="0" xfId="0" applyFont="1"/>
    <xf numFmtId="164" fontId="16" fillId="0" borderId="0" xfId="0" applyNumberFormat="1" applyFont="1"/>
    <xf numFmtId="0" fontId="17" fillId="0" borderId="0" xfId="0" applyFont="1"/>
    <xf numFmtId="0" fontId="18" fillId="0" borderId="0" xfId="0" applyFont="1"/>
    <xf numFmtId="164" fontId="18" fillId="0" borderId="0" xfId="0" applyNumberFormat="1" applyFont="1"/>
    <xf numFmtId="0" fontId="19" fillId="0" borderId="0" xfId="0" applyFont="1"/>
    <xf numFmtId="164" fontId="19" fillId="0" borderId="0" xfId="0" applyNumberFormat="1" applyFont="1"/>
  </cellXfs>
  <cellStyles count="18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Sheet1!$B$6</c:f>
              <c:strCache>
                <c:ptCount val="1"/>
                <c:pt idx="0">
                  <c:v>0pF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Sheet1!$A$7:$A$10</c:f>
              <c:numCache>
                <c:formatCode>General</c:formatCode>
                <c:ptCount val="4"/>
                <c:pt idx="0">
                  <c:v>50.0</c:v>
                </c:pt>
                <c:pt idx="1">
                  <c:v>75.0</c:v>
                </c:pt>
                <c:pt idx="2">
                  <c:v>100.0</c:v>
                </c:pt>
                <c:pt idx="3">
                  <c:v>125.0</c:v>
                </c:pt>
              </c:numCache>
            </c:numRef>
          </c:xVal>
          <c:yVal>
            <c:numRef>
              <c:f>Sheet1!$B$7:$B$10</c:f>
              <c:numCache>
                <c:formatCode>General</c:formatCode>
                <c:ptCount val="4"/>
                <c:pt idx="0">
                  <c:v>0.638569604086845</c:v>
                </c:pt>
                <c:pt idx="1">
                  <c:v>0.7097232079489</c:v>
                </c:pt>
                <c:pt idx="2">
                  <c:v>0.762195121951219</c:v>
                </c:pt>
                <c:pt idx="3">
                  <c:v>0.797448165869218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Sheet1!$C$6</c:f>
              <c:strCache>
                <c:ptCount val="1"/>
                <c:pt idx="0">
                  <c:v>1pF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Sheet1!$A$7:$A$10</c:f>
              <c:numCache>
                <c:formatCode>General</c:formatCode>
                <c:ptCount val="4"/>
                <c:pt idx="0">
                  <c:v>50.0</c:v>
                </c:pt>
                <c:pt idx="1">
                  <c:v>75.0</c:v>
                </c:pt>
                <c:pt idx="2">
                  <c:v>100.0</c:v>
                </c:pt>
                <c:pt idx="3">
                  <c:v>125.0</c:v>
                </c:pt>
              </c:numCache>
            </c:numRef>
          </c:xVal>
          <c:yVal>
            <c:numRef>
              <c:f>Sheet1!$C$7:$C$10</c:f>
              <c:numCache>
                <c:formatCode>General</c:formatCode>
                <c:ptCount val="4"/>
                <c:pt idx="0">
                  <c:v>0.639386189258312</c:v>
                </c:pt>
                <c:pt idx="1">
                  <c:v>0.69589422407794</c:v>
                </c:pt>
                <c:pt idx="2">
                  <c:v>0.740740740740741</c:v>
                </c:pt>
                <c:pt idx="3">
                  <c:v>0.773993808049535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Sheet1!$D$6</c:f>
              <c:strCache>
                <c:ptCount val="1"/>
                <c:pt idx="0">
                  <c:v>2pF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Sheet1!$A$7:$A$10</c:f>
              <c:numCache>
                <c:formatCode>General</c:formatCode>
                <c:ptCount val="4"/>
                <c:pt idx="0">
                  <c:v>50.0</c:v>
                </c:pt>
                <c:pt idx="1">
                  <c:v>75.0</c:v>
                </c:pt>
                <c:pt idx="2">
                  <c:v>100.0</c:v>
                </c:pt>
                <c:pt idx="3">
                  <c:v>125.0</c:v>
                </c:pt>
              </c:numCache>
            </c:numRef>
          </c:xVal>
          <c:yVal>
            <c:numRef>
              <c:f>Sheet1!$D$7:$D$10</c:f>
              <c:numCache>
                <c:formatCode>General</c:formatCode>
                <c:ptCount val="4"/>
                <c:pt idx="0">
                  <c:v>0.651041666666667</c:v>
                </c:pt>
                <c:pt idx="1">
                  <c:v>0.696864111498258</c:v>
                </c:pt>
                <c:pt idx="2">
                  <c:v>0.731528895391368</c:v>
                </c:pt>
                <c:pt idx="3">
                  <c:v>0.760456273764259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Sheet1!$E$6</c:f>
              <c:strCache>
                <c:ptCount val="1"/>
                <c:pt idx="0">
                  <c:v>4pF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Sheet1!$A$7:$A$10</c:f>
              <c:numCache>
                <c:formatCode>General</c:formatCode>
                <c:ptCount val="4"/>
                <c:pt idx="0">
                  <c:v>50.0</c:v>
                </c:pt>
                <c:pt idx="1">
                  <c:v>75.0</c:v>
                </c:pt>
                <c:pt idx="2">
                  <c:v>100.0</c:v>
                </c:pt>
                <c:pt idx="3">
                  <c:v>125.0</c:v>
                </c:pt>
              </c:numCache>
            </c:numRef>
          </c:xVal>
          <c:yVal>
            <c:numRef>
              <c:f>Sheet1!$E$7:$E$10</c:f>
              <c:numCache>
                <c:formatCode>General</c:formatCode>
                <c:ptCount val="4"/>
                <c:pt idx="0">
                  <c:v>0.677048070412999</c:v>
                </c:pt>
                <c:pt idx="1">
                  <c:v>0.706713780918728</c:v>
                </c:pt>
                <c:pt idx="2">
                  <c:v>0.730994152046783</c:v>
                </c:pt>
                <c:pt idx="3">
                  <c:v>0.75187969924812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4459704"/>
        <c:axId val="2144465288"/>
      </c:scatterChart>
      <c:valAx>
        <c:axId val="2144459704"/>
        <c:scaling>
          <c:orientation val="minMax"/>
          <c:min val="4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4465288"/>
        <c:crosses val="autoZero"/>
        <c:crossBetween val="midCat"/>
      </c:valAx>
      <c:valAx>
        <c:axId val="2144465288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4459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Settling Percentage</a:t>
            </a:r>
            <a:r>
              <a:rPr lang="en-US" baseline="0"/>
              <a:t> vs Settling Time w 4pF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supply scale = 0.9</c:v>
          </c:tx>
          <c:xVal>
            <c:numRef>
              <c:f>Sheet3!$F$1:$K$1</c:f>
              <c:numCache>
                <c:formatCode>General</c:formatCode>
                <c:ptCount val="6"/>
                <c:pt idx="0">
                  <c:v>20.0</c:v>
                </c:pt>
                <c:pt idx="1">
                  <c:v>44.0</c:v>
                </c:pt>
                <c:pt idx="2">
                  <c:v>60.0</c:v>
                </c:pt>
                <c:pt idx="3">
                  <c:v>75.0</c:v>
                </c:pt>
                <c:pt idx="4">
                  <c:v>100.0</c:v>
                </c:pt>
                <c:pt idx="5">
                  <c:v>125.0</c:v>
                </c:pt>
              </c:numCache>
            </c:numRef>
          </c:xVal>
          <c:yVal>
            <c:numRef>
              <c:f>Sheet3!$F$17:$K$17</c:f>
              <c:numCache>
                <c:formatCode>0.0000</c:formatCode>
                <c:ptCount val="6"/>
                <c:pt idx="0">
                  <c:v>0.542005420054201</c:v>
                </c:pt>
                <c:pt idx="1">
                  <c:v>0.567536889897843</c:v>
                </c:pt>
                <c:pt idx="2">
                  <c:v>0.58173356602676</c:v>
                </c:pt>
                <c:pt idx="3">
                  <c:v>0.60313630880579</c:v>
                </c:pt>
                <c:pt idx="4">
                  <c:v>0.623830318153462</c:v>
                </c:pt>
                <c:pt idx="5">
                  <c:v>0.641025641025641</c:v>
                </c:pt>
              </c:numCache>
            </c:numRef>
          </c:yVal>
          <c:smooth val="1"/>
        </c:ser>
        <c:ser>
          <c:idx val="1"/>
          <c:order val="1"/>
          <c:tx>
            <c:v>Supply Scale = 0.95</c:v>
          </c:tx>
          <c:xVal>
            <c:numRef>
              <c:f>Sheet3!$F$1:$K$1</c:f>
              <c:numCache>
                <c:formatCode>General</c:formatCode>
                <c:ptCount val="6"/>
                <c:pt idx="0">
                  <c:v>20.0</c:v>
                </c:pt>
                <c:pt idx="1">
                  <c:v>44.0</c:v>
                </c:pt>
                <c:pt idx="2">
                  <c:v>60.0</c:v>
                </c:pt>
                <c:pt idx="3">
                  <c:v>75.0</c:v>
                </c:pt>
                <c:pt idx="4">
                  <c:v>100.0</c:v>
                </c:pt>
                <c:pt idx="5">
                  <c:v>125.0</c:v>
                </c:pt>
              </c:numCache>
            </c:numRef>
          </c:xVal>
          <c:yVal>
            <c:numRef>
              <c:f>Sheet3!$F$18:$K$18</c:f>
              <c:numCache>
                <c:formatCode>0.0000</c:formatCode>
                <c:ptCount val="6"/>
                <c:pt idx="0">
                  <c:v>0.588235294117647</c:v>
                </c:pt>
                <c:pt idx="1">
                  <c:v>0.612369871402327</c:v>
                </c:pt>
                <c:pt idx="2">
                  <c:v>0.630119722747322</c:v>
                </c:pt>
                <c:pt idx="3">
                  <c:v>0.654450261780105</c:v>
                </c:pt>
                <c:pt idx="4">
                  <c:v>0.6765899864682</c:v>
                </c:pt>
                <c:pt idx="5">
                  <c:v>0.69492703266157</c:v>
                </c:pt>
              </c:numCache>
            </c:numRef>
          </c:yVal>
          <c:smooth val="1"/>
        </c:ser>
        <c:ser>
          <c:idx val="2"/>
          <c:order val="2"/>
          <c:tx>
            <c:v>Supply Scale = 1</c:v>
          </c:tx>
          <c:xVal>
            <c:numRef>
              <c:f>Sheet3!$F$1:$K$1</c:f>
              <c:numCache>
                <c:formatCode>General</c:formatCode>
                <c:ptCount val="6"/>
                <c:pt idx="0">
                  <c:v>20.0</c:v>
                </c:pt>
                <c:pt idx="1">
                  <c:v>44.0</c:v>
                </c:pt>
                <c:pt idx="2">
                  <c:v>60.0</c:v>
                </c:pt>
                <c:pt idx="3">
                  <c:v>75.0</c:v>
                </c:pt>
                <c:pt idx="4">
                  <c:v>100.0</c:v>
                </c:pt>
                <c:pt idx="5">
                  <c:v>125.0</c:v>
                </c:pt>
              </c:numCache>
            </c:numRef>
          </c:xVal>
          <c:yVal>
            <c:numRef>
              <c:f>Sheet3!$F$19:$K$19</c:f>
              <c:numCache>
                <c:formatCode>0.0000</c:formatCode>
                <c:ptCount val="6"/>
                <c:pt idx="0">
                  <c:v>0.60790273556231</c:v>
                </c:pt>
                <c:pt idx="1">
                  <c:v>0.640204865556978</c:v>
                </c:pt>
                <c:pt idx="2">
                  <c:v>0.66006600660066</c:v>
                </c:pt>
                <c:pt idx="3">
                  <c:v>0.687757909215956</c:v>
                </c:pt>
                <c:pt idx="4">
                  <c:v>0.710732054015636</c:v>
                </c:pt>
                <c:pt idx="5">
                  <c:v>0.734753857457752</c:v>
                </c:pt>
              </c:numCache>
            </c:numRef>
          </c:yVal>
          <c:smooth val="1"/>
        </c:ser>
        <c:ser>
          <c:idx val="3"/>
          <c:order val="3"/>
          <c:tx>
            <c:v>Supply Scale = 1.05</c:v>
          </c:tx>
          <c:spPr>
            <a:ln>
              <a:solidFill>
                <a:schemeClr val="accent4">
                  <a:lumMod val="50000"/>
                </a:schemeClr>
              </a:solidFill>
            </a:ln>
          </c:spPr>
          <c:marker>
            <c:spPr>
              <a:ln>
                <a:solidFill>
                  <a:schemeClr val="accent4">
                    <a:lumMod val="50000"/>
                  </a:schemeClr>
                </a:solidFill>
              </a:ln>
            </c:spPr>
          </c:marker>
          <c:xVal>
            <c:numRef>
              <c:f>Sheet3!$F$1:$K$1</c:f>
              <c:numCache>
                <c:formatCode>General</c:formatCode>
                <c:ptCount val="6"/>
                <c:pt idx="0">
                  <c:v>20.0</c:v>
                </c:pt>
                <c:pt idx="1">
                  <c:v>44.0</c:v>
                </c:pt>
                <c:pt idx="2">
                  <c:v>60.0</c:v>
                </c:pt>
                <c:pt idx="3">
                  <c:v>75.0</c:v>
                </c:pt>
                <c:pt idx="4">
                  <c:v>100.0</c:v>
                </c:pt>
                <c:pt idx="5">
                  <c:v>125.0</c:v>
                </c:pt>
              </c:numCache>
            </c:numRef>
          </c:xVal>
          <c:yVal>
            <c:numRef>
              <c:f>Sheet3!$F$20:$K$20</c:f>
              <c:numCache>
                <c:formatCode>0.0000</c:formatCode>
                <c:ptCount val="6"/>
                <c:pt idx="0">
                  <c:v>0.619195046439628</c:v>
                </c:pt>
                <c:pt idx="1">
                  <c:v>0.656167979002625</c:v>
                </c:pt>
                <c:pt idx="2">
                  <c:v>0.677966101694915</c:v>
                </c:pt>
                <c:pt idx="3">
                  <c:v>0.706214689265537</c:v>
                </c:pt>
                <c:pt idx="4">
                  <c:v>0.732600732600732</c:v>
                </c:pt>
                <c:pt idx="5">
                  <c:v>0.755287009063444</c:v>
                </c:pt>
              </c:numCache>
            </c:numRef>
          </c:yVal>
          <c:smooth val="1"/>
        </c:ser>
        <c:ser>
          <c:idx val="4"/>
          <c:order val="4"/>
          <c:tx>
            <c:v>Supply Scale = 1.1</c:v>
          </c:tx>
          <c:spPr>
            <a:ln>
              <a:solidFill>
                <a:srgbClr val="008000"/>
              </a:solidFill>
            </a:ln>
          </c:spPr>
          <c:marker>
            <c:spPr>
              <a:ln>
                <a:solidFill>
                  <a:srgbClr val="008000"/>
                </a:solidFill>
              </a:ln>
            </c:spPr>
          </c:marker>
          <c:xVal>
            <c:numRef>
              <c:f>Sheet3!$F$1:$K$1</c:f>
              <c:numCache>
                <c:formatCode>General</c:formatCode>
                <c:ptCount val="6"/>
                <c:pt idx="0">
                  <c:v>20.0</c:v>
                </c:pt>
                <c:pt idx="1">
                  <c:v>44.0</c:v>
                </c:pt>
                <c:pt idx="2">
                  <c:v>60.0</c:v>
                </c:pt>
                <c:pt idx="3">
                  <c:v>75.0</c:v>
                </c:pt>
                <c:pt idx="4">
                  <c:v>100.0</c:v>
                </c:pt>
                <c:pt idx="5">
                  <c:v>125.0</c:v>
                </c:pt>
              </c:numCache>
            </c:numRef>
          </c:xVal>
          <c:yVal>
            <c:numRef>
              <c:f>Sheet3!$F$21:$K$21</c:f>
              <c:numCache>
                <c:formatCode>0.0000</c:formatCode>
                <c:ptCount val="6"/>
                <c:pt idx="0">
                  <c:v>0.628535512256442</c:v>
                </c:pt>
                <c:pt idx="1">
                  <c:v>0.667556742323097</c:v>
                </c:pt>
                <c:pt idx="2">
                  <c:v>0.689655172413793</c:v>
                </c:pt>
                <c:pt idx="3">
                  <c:v>0.719424460431655</c:v>
                </c:pt>
                <c:pt idx="4">
                  <c:v>0.745156482861401</c:v>
                </c:pt>
                <c:pt idx="5">
                  <c:v>0.766871165644172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4164696"/>
        <c:axId val="2144154168"/>
      </c:scatterChart>
      <c:valAx>
        <c:axId val="2144164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Settling</a:t>
                </a:r>
                <a:r>
                  <a:rPr lang="en-US" baseline="0"/>
                  <a:t> Time (ns)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44154168"/>
        <c:crosses val="autoZero"/>
        <c:crossBetween val="midCat"/>
      </c:valAx>
      <c:valAx>
        <c:axId val="2144154168"/>
        <c:scaling>
          <c:orientation val="minMax"/>
          <c:min val="0.3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Settling</a:t>
                </a:r>
                <a:r>
                  <a:rPr lang="en-US" baseline="0"/>
                  <a:t> Percentage</a:t>
                </a:r>
                <a:endParaRPr lang="en-US"/>
              </a:p>
            </c:rich>
          </c:tx>
          <c:layout/>
          <c:overlay val="0"/>
        </c:title>
        <c:numFmt formatCode="0.00" sourceLinked="0"/>
        <c:majorTickMark val="none"/>
        <c:minorTickMark val="none"/>
        <c:tickLblPos val="nextTo"/>
        <c:crossAx val="21441646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Partial Settling Percentage vs Settling Time @90%VDD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0pF BL Load</c:v>
          </c:tx>
          <c:xVal>
            <c:numRef>
              <c:f>Sheet3!$F$71:$K$71</c:f>
              <c:numCache>
                <c:formatCode>General</c:formatCode>
                <c:ptCount val="6"/>
                <c:pt idx="0">
                  <c:v>20.0</c:v>
                </c:pt>
                <c:pt idx="1">
                  <c:v>44.0</c:v>
                </c:pt>
                <c:pt idx="2">
                  <c:v>60.0</c:v>
                </c:pt>
                <c:pt idx="3">
                  <c:v>75.0</c:v>
                </c:pt>
                <c:pt idx="4">
                  <c:v>100.0</c:v>
                </c:pt>
                <c:pt idx="5">
                  <c:v>125.0</c:v>
                </c:pt>
              </c:numCache>
            </c:numRef>
          </c:xVal>
          <c:yVal>
            <c:numRef>
              <c:f>Sheet3!$F$72:$K$72</c:f>
              <c:numCache>
                <c:formatCode>0.0000</c:formatCode>
                <c:ptCount val="6"/>
                <c:pt idx="0">
                  <c:v>0.399042298483639</c:v>
                </c:pt>
                <c:pt idx="1">
                  <c:v>0.514933058702369</c:v>
                </c:pt>
                <c:pt idx="2">
                  <c:v>0.564652738565782</c:v>
                </c:pt>
                <c:pt idx="3">
                  <c:v>0.602046959662854</c:v>
                </c:pt>
                <c:pt idx="4">
                  <c:v>0.638162093171666</c:v>
                </c:pt>
                <c:pt idx="5">
                  <c:v>0.661375661375661</c:v>
                </c:pt>
              </c:numCache>
            </c:numRef>
          </c:yVal>
          <c:smooth val="1"/>
        </c:ser>
        <c:ser>
          <c:idx val="1"/>
          <c:order val="1"/>
          <c:tx>
            <c:v>1pF BL Load</c:v>
          </c:tx>
          <c:xVal>
            <c:numRef>
              <c:f>Sheet3!$F$71:$K$71</c:f>
              <c:numCache>
                <c:formatCode>General</c:formatCode>
                <c:ptCount val="6"/>
                <c:pt idx="0">
                  <c:v>20.0</c:v>
                </c:pt>
                <c:pt idx="1">
                  <c:v>44.0</c:v>
                </c:pt>
                <c:pt idx="2">
                  <c:v>60.0</c:v>
                </c:pt>
                <c:pt idx="3">
                  <c:v>75.0</c:v>
                </c:pt>
                <c:pt idx="4">
                  <c:v>100.0</c:v>
                </c:pt>
                <c:pt idx="5">
                  <c:v>125.0</c:v>
                </c:pt>
              </c:numCache>
            </c:numRef>
          </c:xVal>
          <c:yVal>
            <c:numRef>
              <c:f>Sheet3!$F$73:$K$73</c:f>
              <c:numCache>
                <c:formatCode>0.0000</c:formatCode>
                <c:ptCount val="6"/>
                <c:pt idx="0">
                  <c:v>0.429000429000429</c:v>
                </c:pt>
                <c:pt idx="1">
                  <c:v>0.513347022587269</c:v>
                </c:pt>
                <c:pt idx="2">
                  <c:v>0.552791597567717</c:v>
                </c:pt>
                <c:pt idx="3">
                  <c:v>0.591366055588409</c:v>
                </c:pt>
                <c:pt idx="4">
                  <c:v>0.623830318153462</c:v>
                </c:pt>
                <c:pt idx="5">
                  <c:v>0.646830530401035</c:v>
                </c:pt>
              </c:numCache>
            </c:numRef>
          </c:yVal>
          <c:smooth val="1"/>
        </c:ser>
        <c:ser>
          <c:idx val="2"/>
          <c:order val="2"/>
          <c:tx>
            <c:v>2pF BL Load</c:v>
          </c:tx>
          <c:xVal>
            <c:numRef>
              <c:f>Sheet3!$F$71:$K$71</c:f>
              <c:numCache>
                <c:formatCode>General</c:formatCode>
                <c:ptCount val="6"/>
                <c:pt idx="0">
                  <c:v>20.0</c:v>
                </c:pt>
                <c:pt idx="1">
                  <c:v>44.0</c:v>
                </c:pt>
                <c:pt idx="2">
                  <c:v>60.0</c:v>
                </c:pt>
                <c:pt idx="3">
                  <c:v>75.0</c:v>
                </c:pt>
                <c:pt idx="4">
                  <c:v>100.0</c:v>
                </c:pt>
                <c:pt idx="5">
                  <c:v>125.0</c:v>
                </c:pt>
              </c:numCache>
            </c:numRef>
          </c:xVal>
          <c:yVal>
            <c:numRef>
              <c:f>Sheet3!$F$74:$K$74</c:f>
              <c:numCache>
                <c:formatCode>0.0000</c:formatCode>
                <c:ptCount val="6"/>
                <c:pt idx="0">
                  <c:v>0.465116279069767</c:v>
                </c:pt>
                <c:pt idx="1">
                  <c:v>0.528262017960909</c:v>
                </c:pt>
                <c:pt idx="2">
                  <c:v>0.560538116591928</c:v>
                </c:pt>
                <c:pt idx="3">
                  <c:v>0.595947556615018</c:v>
                </c:pt>
                <c:pt idx="4">
                  <c:v>0.625</c:v>
                </c:pt>
                <c:pt idx="5">
                  <c:v>0.647249190938511</c:v>
                </c:pt>
              </c:numCache>
            </c:numRef>
          </c:yVal>
          <c:smooth val="1"/>
        </c:ser>
        <c:ser>
          <c:idx val="3"/>
          <c:order val="3"/>
          <c:tx>
            <c:v>4pF BL Load</c:v>
          </c:tx>
          <c:spPr>
            <a:ln>
              <a:solidFill>
                <a:srgbClr val="008000"/>
              </a:solidFill>
            </a:ln>
          </c:spPr>
          <c:marker>
            <c:spPr>
              <a:ln>
                <a:solidFill>
                  <a:srgbClr val="008000"/>
                </a:solidFill>
              </a:ln>
            </c:spPr>
          </c:marker>
          <c:xVal>
            <c:numRef>
              <c:f>Sheet3!$F$71:$K$71</c:f>
              <c:numCache>
                <c:formatCode>General</c:formatCode>
                <c:ptCount val="6"/>
                <c:pt idx="0">
                  <c:v>20.0</c:v>
                </c:pt>
                <c:pt idx="1">
                  <c:v>44.0</c:v>
                </c:pt>
                <c:pt idx="2">
                  <c:v>60.0</c:v>
                </c:pt>
                <c:pt idx="3">
                  <c:v>75.0</c:v>
                </c:pt>
                <c:pt idx="4">
                  <c:v>100.0</c:v>
                </c:pt>
                <c:pt idx="5">
                  <c:v>125.0</c:v>
                </c:pt>
              </c:numCache>
            </c:numRef>
          </c:xVal>
          <c:yVal>
            <c:numRef>
              <c:f>Sheet3!$F$75:$K$75</c:f>
              <c:numCache>
                <c:formatCode>0.0000</c:formatCode>
                <c:ptCount val="6"/>
                <c:pt idx="0">
                  <c:v>0.542005420054201</c:v>
                </c:pt>
                <c:pt idx="1">
                  <c:v>0.567536889897843</c:v>
                </c:pt>
                <c:pt idx="2">
                  <c:v>0.58173356602676</c:v>
                </c:pt>
                <c:pt idx="3">
                  <c:v>0.60313630880579</c:v>
                </c:pt>
                <c:pt idx="4">
                  <c:v>0.623830318153462</c:v>
                </c:pt>
                <c:pt idx="5">
                  <c:v>0.641025641025641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6681752"/>
        <c:axId val="2143441944"/>
      </c:scatterChart>
      <c:valAx>
        <c:axId val="1776681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Settling Time (ns)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43441944"/>
        <c:crosses val="autoZero"/>
        <c:crossBetween val="midCat"/>
      </c:valAx>
      <c:valAx>
        <c:axId val="2143441944"/>
        <c:scaling>
          <c:orientation val="minMax"/>
          <c:min val="0.35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Partial Setting</a:t>
                </a:r>
                <a:r>
                  <a:rPr lang="en-US" sz="1200" baseline="0"/>
                  <a:t> Percentage</a:t>
                </a:r>
                <a:endParaRPr lang="en-US" sz="1200"/>
              </a:p>
            </c:rich>
          </c:tx>
          <c:layout/>
          <c:overlay val="0"/>
        </c:title>
        <c:numFmt formatCode="0.0000" sourceLinked="1"/>
        <c:majorTickMark val="none"/>
        <c:minorTickMark val="none"/>
        <c:tickLblPos val="nextTo"/>
        <c:crossAx val="17766817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Partial Settling Percentage vs Settling Time @95%VDD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0pF BL Load</c:v>
          </c:tx>
          <c:xVal>
            <c:numRef>
              <c:f>Sheet3!$F$71:$K$71</c:f>
              <c:numCache>
                <c:formatCode>General</c:formatCode>
                <c:ptCount val="6"/>
                <c:pt idx="0">
                  <c:v>20.0</c:v>
                </c:pt>
                <c:pt idx="1">
                  <c:v>44.0</c:v>
                </c:pt>
                <c:pt idx="2">
                  <c:v>60.0</c:v>
                </c:pt>
                <c:pt idx="3">
                  <c:v>75.0</c:v>
                </c:pt>
                <c:pt idx="4">
                  <c:v>100.0</c:v>
                </c:pt>
                <c:pt idx="5">
                  <c:v>125.0</c:v>
                </c:pt>
              </c:numCache>
            </c:numRef>
          </c:xVal>
          <c:yVal>
            <c:numRef>
              <c:f>Sheet3!$F$76:$K$76</c:f>
              <c:numCache>
                <c:formatCode>0.0000</c:formatCode>
                <c:ptCount val="6"/>
                <c:pt idx="0">
                  <c:v>0.431406384814495</c:v>
                </c:pt>
                <c:pt idx="1">
                  <c:v>0.555864369093941</c:v>
                </c:pt>
                <c:pt idx="2">
                  <c:v>0.61050061050061</c:v>
                </c:pt>
                <c:pt idx="3">
                  <c:v>0.65359477124183</c:v>
                </c:pt>
                <c:pt idx="4">
                  <c:v>0.69589422407794</c:v>
                </c:pt>
                <c:pt idx="5">
                  <c:v>0.736377025036819</c:v>
                </c:pt>
              </c:numCache>
            </c:numRef>
          </c:yVal>
          <c:smooth val="1"/>
        </c:ser>
        <c:ser>
          <c:idx val="1"/>
          <c:order val="1"/>
          <c:tx>
            <c:v>1pF BL Load</c:v>
          </c:tx>
          <c:xVal>
            <c:numRef>
              <c:f>Sheet3!$F$71:$K$71</c:f>
              <c:numCache>
                <c:formatCode>General</c:formatCode>
                <c:ptCount val="6"/>
                <c:pt idx="0">
                  <c:v>20.0</c:v>
                </c:pt>
                <c:pt idx="1">
                  <c:v>44.0</c:v>
                </c:pt>
                <c:pt idx="2">
                  <c:v>60.0</c:v>
                </c:pt>
                <c:pt idx="3">
                  <c:v>75.0</c:v>
                </c:pt>
                <c:pt idx="4">
                  <c:v>100.0</c:v>
                </c:pt>
                <c:pt idx="5">
                  <c:v>125.0</c:v>
                </c:pt>
              </c:numCache>
            </c:numRef>
          </c:xVal>
          <c:yVal>
            <c:numRef>
              <c:f>Sheet3!$F$77:$K$77</c:f>
              <c:numCache>
                <c:formatCode>0.0000</c:formatCode>
                <c:ptCount val="6"/>
                <c:pt idx="0">
                  <c:v>0.466417910447761</c:v>
                </c:pt>
                <c:pt idx="1">
                  <c:v>0.555247084952804</c:v>
                </c:pt>
                <c:pt idx="2">
                  <c:v>0.598802395209581</c:v>
                </c:pt>
                <c:pt idx="3">
                  <c:v>0.641848523748395</c:v>
                </c:pt>
                <c:pt idx="4">
                  <c:v>0.679347826086956</c:v>
                </c:pt>
                <c:pt idx="5">
                  <c:v>0.706214689265537</c:v>
                </c:pt>
              </c:numCache>
            </c:numRef>
          </c:yVal>
          <c:smooth val="1"/>
        </c:ser>
        <c:ser>
          <c:idx val="2"/>
          <c:order val="2"/>
          <c:tx>
            <c:v>2pF BL Load</c:v>
          </c:tx>
          <c:xVal>
            <c:numRef>
              <c:f>Sheet3!$F$71:$K$71</c:f>
              <c:numCache>
                <c:formatCode>General</c:formatCode>
                <c:ptCount val="6"/>
                <c:pt idx="0">
                  <c:v>20.0</c:v>
                </c:pt>
                <c:pt idx="1">
                  <c:v>44.0</c:v>
                </c:pt>
                <c:pt idx="2">
                  <c:v>60.0</c:v>
                </c:pt>
                <c:pt idx="3">
                  <c:v>75.0</c:v>
                </c:pt>
                <c:pt idx="4">
                  <c:v>100.0</c:v>
                </c:pt>
                <c:pt idx="5">
                  <c:v>125.0</c:v>
                </c:pt>
              </c:numCache>
            </c:numRef>
          </c:xVal>
          <c:yVal>
            <c:numRef>
              <c:f>Sheet3!$F$78:$K$78</c:f>
              <c:numCache>
                <c:formatCode>0.0000</c:formatCode>
                <c:ptCount val="6"/>
                <c:pt idx="0">
                  <c:v>0.505561172901921</c:v>
                </c:pt>
                <c:pt idx="1">
                  <c:v>0.570776255707763</c:v>
                </c:pt>
                <c:pt idx="2">
                  <c:v>0.605326876513317</c:v>
                </c:pt>
                <c:pt idx="3">
                  <c:v>0.644745325596389</c:v>
                </c:pt>
                <c:pt idx="4">
                  <c:v>0.6765899864682</c:v>
                </c:pt>
                <c:pt idx="5">
                  <c:v>0.701262272089761</c:v>
                </c:pt>
              </c:numCache>
            </c:numRef>
          </c:yVal>
          <c:smooth val="1"/>
        </c:ser>
        <c:ser>
          <c:idx val="3"/>
          <c:order val="3"/>
          <c:tx>
            <c:v>4pF BL Load</c:v>
          </c:tx>
          <c:spPr>
            <a:ln>
              <a:solidFill>
                <a:srgbClr val="008000"/>
              </a:solidFill>
            </a:ln>
          </c:spPr>
          <c:marker>
            <c:spPr>
              <a:ln>
                <a:solidFill>
                  <a:srgbClr val="008000"/>
                </a:solidFill>
              </a:ln>
            </c:spPr>
          </c:marker>
          <c:xVal>
            <c:numRef>
              <c:f>Sheet3!$F$71:$K$71</c:f>
              <c:numCache>
                <c:formatCode>General</c:formatCode>
                <c:ptCount val="6"/>
                <c:pt idx="0">
                  <c:v>20.0</c:v>
                </c:pt>
                <c:pt idx="1">
                  <c:v>44.0</c:v>
                </c:pt>
                <c:pt idx="2">
                  <c:v>60.0</c:v>
                </c:pt>
                <c:pt idx="3">
                  <c:v>75.0</c:v>
                </c:pt>
                <c:pt idx="4">
                  <c:v>100.0</c:v>
                </c:pt>
                <c:pt idx="5">
                  <c:v>125.0</c:v>
                </c:pt>
              </c:numCache>
            </c:numRef>
          </c:xVal>
          <c:yVal>
            <c:numRef>
              <c:f>Sheet3!$F$79:$K$79</c:f>
              <c:numCache>
                <c:formatCode>0.0000</c:formatCode>
                <c:ptCount val="6"/>
                <c:pt idx="0">
                  <c:v>0.588235294117647</c:v>
                </c:pt>
                <c:pt idx="1">
                  <c:v>0.612369871402327</c:v>
                </c:pt>
                <c:pt idx="2">
                  <c:v>0.630119722747322</c:v>
                </c:pt>
                <c:pt idx="3">
                  <c:v>0.654450261780105</c:v>
                </c:pt>
                <c:pt idx="4">
                  <c:v>0.6765899864682</c:v>
                </c:pt>
                <c:pt idx="5">
                  <c:v>0.69492703266157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6342328"/>
        <c:axId val="1777978792"/>
      </c:scatterChart>
      <c:valAx>
        <c:axId val="1776342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Settling Time (ns)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777978792"/>
        <c:crosses val="autoZero"/>
        <c:crossBetween val="midCat"/>
      </c:valAx>
      <c:valAx>
        <c:axId val="1777978792"/>
        <c:scaling>
          <c:orientation val="minMax"/>
          <c:min val="0.35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Partial Setting</a:t>
                </a:r>
                <a:r>
                  <a:rPr lang="en-US" sz="1200" baseline="0"/>
                  <a:t> Percentage</a:t>
                </a:r>
                <a:endParaRPr lang="en-US" sz="1200"/>
              </a:p>
            </c:rich>
          </c:tx>
          <c:layout/>
          <c:overlay val="0"/>
        </c:title>
        <c:numFmt formatCode="0.0000" sourceLinked="1"/>
        <c:majorTickMark val="none"/>
        <c:minorTickMark val="none"/>
        <c:tickLblPos val="nextTo"/>
        <c:crossAx val="17763423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Partial Settling Percentage vs Settling Time @100%VDD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0pF BL Load</c:v>
          </c:tx>
          <c:xVal>
            <c:numRef>
              <c:f>Sheet3!$F$71:$K$71</c:f>
              <c:numCache>
                <c:formatCode>General</c:formatCode>
                <c:ptCount val="6"/>
                <c:pt idx="0">
                  <c:v>20.0</c:v>
                </c:pt>
                <c:pt idx="1">
                  <c:v>44.0</c:v>
                </c:pt>
                <c:pt idx="2">
                  <c:v>60.0</c:v>
                </c:pt>
                <c:pt idx="3">
                  <c:v>75.0</c:v>
                </c:pt>
                <c:pt idx="4">
                  <c:v>100.0</c:v>
                </c:pt>
                <c:pt idx="5">
                  <c:v>125.0</c:v>
                </c:pt>
              </c:numCache>
            </c:numRef>
          </c:xVal>
          <c:yVal>
            <c:numRef>
              <c:f>Sheet3!$F$80:$K$80</c:f>
              <c:numCache>
                <c:formatCode>0.0000</c:formatCode>
                <c:ptCount val="6"/>
                <c:pt idx="0">
                  <c:v>0.455788514129444</c:v>
                </c:pt>
                <c:pt idx="1">
                  <c:v>0.586166471277843</c:v>
                </c:pt>
                <c:pt idx="2">
                  <c:v>0.643500643500643</c:v>
                </c:pt>
                <c:pt idx="3">
                  <c:v>0.692041522491349</c:v>
                </c:pt>
                <c:pt idx="4">
                  <c:v>0.741839762611276</c:v>
                </c:pt>
                <c:pt idx="5">
                  <c:v>0.78064012490242</c:v>
                </c:pt>
              </c:numCache>
            </c:numRef>
          </c:yVal>
          <c:smooth val="1"/>
        </c:ser>
        <c:ser>
          <c:idx val="1"/>
          <c:order val="1"/>
          <c:tx>
            <c:v>1pF BL Load</c:v>
          </c:tx>
          <c:xVal>
            <c:numRef>
              <c:f>Sheet3!$F$71:$K$71</c:f>
              <c:numCache>
                <c:formatCode>General</c:formatCode>
                <c:ptCount val="6"/>
                <c:pt idx="0">
                  <c:v>20.0</c:v>
                </c:pt>
                <c:pt idx="1">
                  <c:v>44.0</c:v>
                </c:pt>
                <c:pt idx="2">
                  <c:v>60.0</c:v>
                </c:pt>
                <c:pt idx="3">
                  <c:v>75.0</c:v>
                </c:pt>
                <c:pt idx="4">
                  <c:v>100.0</c:v>
                </c:pt>
                <c:pt idx="5">
                  <c:v>125.0</c:v>
                </c:pt>
              </c:numCache>
            </c:numRef>
          </c:xVal>
          <c:yVal>
            <c:numRef>
              <c:f>Sheet3!$F$81:$K$81</c:f>
              <c:numCache>
                <c:formatCode>0.0000</c:formatCode>
                <c:ptCount val="6"/>
                <c:pt idx="0">
                  <c:v>0.493096646942801</c:v>
                </c:pt>
                <c:pt idx="1">
                  <c:v>0.585480093676815</c:v>
                </c:pt>
                <c:pt idx="2">
                  <c:v>0.630914826498423</c:v>
                </c:pt>
                <c:pt idx="3">
                  <c:v>0.6765899864682</c:v>
                </c:pt>
                <c:pt idx="4">
                  <c:v>0.718390804597701</c:v>
                </c:pt>
                <c:pt idx="5">
                  <c:v>0.755287009063444</c:v>
                </c:pt>
              </c:numCache>
            </c:numRef>
          </c:yVal>
          <c:smooth val="1"/>
        </c:ser>
        <c:ser>
          <c:idx val="2"/>
          <c:order val="2"/>
          <c:tx>
            <c:v>2pF BL Load</c:v>
          </c:tx>
          <c:xVal>
            <c:numRef>
              <c:f>Sheet3!$F$71:$K$71</c:f>
              <c:numCache>
                <c:formatCode>General</c:formatCode>
                <c:ptCount val="6"/>
                <c:pt idx="0">
                  <c:v>20.0</c:v>
                </c:pt>
                <c:pt idx="1">
                  <c:v>44.0</c:v>
                </c:pt>
                <c:pt idx="2">
                  <c:v>60.0</c:v>
                </c:pt>
                <c:pt idx="3">
                  <c:v>75.0</c:v>
                </c:pt>
                <c:pt idx="4">
                  <c:v>100.0</c:v>
                </c:pt>
                <c:pt idx="5">
                  <c:v>125.0</c:v>
                </c:pt>
              </c:numCache>
            </c:numRef>
          </c:xVal>
          <c:yVal>
            <c:numRef>
              <c:f>Sheet3!$F$82:$K$82</c:f>
              <c:numCache>
                <c:formatCode>0.0000</c:formatCode>
                <c:ptCount val="6"/>
                <c:pt idx="0">
                  <c:v>0.53276505061268</c:v>
                </c:pt>
                <c:pt idx="1">
                  <c:v>0.600240096038415</c:v>
                </c:pt>
                <c:pt idx="2">
                  <c:v>0.636132315521628</c:v>
                </c:pt>
                <c:pt idx="3">
                  <c:v>0.6765899864682</c:v>
                </c:pt>
                <c:pt idx="4">
                  <c:v>0.710227272727273</c:v>
                </c:pt>
                <c:pt idx="5">
                  <c:v>0.742942050520059</c:v>
                </c:pt>
              </c:numCache>
            </c:numRef>
          </c:yVal>
          <c:smooth val="1"/>
        </c:ser>
        <c:ser>
          <c:idx val="3"/>
          <c:order val="3"/>
          <c:tx>
            <c:v>4pF BL Load</c:v>
          </c:tx>
          <c:spPr>
            <a:ln>
              <a:solidFill>
                <a:srgbClr val="008000"/>
              </a:solidFill>
            </a:ln>
          </c:spPr>
          <c:marker>
            <c:spPr>
              <a:ln>
                <a:solidFill>
                  <a:srgbClr val="008000"/>
                </a:solidFill>
              </a:ln>
            </c:spPr>
          </c:marker>
          <c:xVal>
            <c:numRef>
              <c:f>Sheet3!$F$71:$K$71</c:f>
              <c:numCache>
                <c:formatCode>General</c:formatCode>
                <c:ptCount val="6"/>
                <c:pt idx="0">
                  <c:v>20.0</c:v>
                </c:pt>
                <c:pt idx="1">
                  <c:v>44.0</c:v>
                </c:pt>
                <c:pt idx="2">
                  <c:v>60.0</c:v>
                </c:pt>
                <c:pt idx="3">
                  <c:v>75.0</c:v>
                </c:pt>
                <c:pt idx="4">
                  <c:v>100.0</c:v>
                </c:pt>
                <c:pt idx="5">
                  <c:v>125.0</c:v>
                </c:pt>
              </c:numCache>
            </c:numRef>
          </c:xVal>
          <c:yVal>
            <c:numRef>
              <c:f>Sheet3!$F$83:$K$83</c:f>
              <c:numCache>
                <c:formatCode>0.0000</c:formatCode>
                <c:ptCount val="6"/>
                <c:pt idx="0">
                  <c:v>0.60790273556231</c:v>
                </c:pt>
                <c:pt idx="1">
                  <c:v>0.640204865556978</c:v>
                </c:pt>
                <c:pt idx="2">
                  <c:v>0.66006600660066</c:v>
                </c:pt>
                <c:pt idx="3">
                  <c:v>0.687757909215956</c:v>
                </c:pt>
                <c:pt idx="4">
                  <c:v>0.710732054015636</c:v>
                </c:pt>
                <c:pt idx="5">
                  <c:v>0.734753857457752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3907624"/>
        <c:axId val="1776462824"/>
      </c:scatterChart>
      <c:valAx>
        <c:axId val="2143907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Settling Time (ns)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776462824"/>
        <c:crosses val="autoZero"/>
        <c:crossBetween val="midCat"/>
      </c:valAx>
      <c:valAx>
        <c:axId val="1776462824"/>
        <c:scaling>
          <c:orientation val="minMax"/>
          <c:min val="0.35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Partial Setting</a:t>
                </a:r>
                <a:r>
                  <a:rPr lang="en-US" sz="1200" baseline="0"/>
                  <a:t> Percentage</a:t>
                </a:r>
                <a:endParaRPr lang="en-US" sz="1200"/>
              </a:p>
            </c:rich>
          </c:tx>
          <c:layout/>
          <c:overlay val="0"/>
        </c:title>
        <c:numFmt formatCode="0.0000" sourceLinked="1"/>
        <c:majorTickMark val="none"/>
        <c:minorTickMark val="none"/>
        <c:tickLblPos val="nextTo"/>
        <c:crossAx val="21439076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Partial Settling Percentage vs Settling Time @105%VDD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0pF BL Load</c:v>
          </c:tx>
          <c:xVal>
            <c:numRef>
              <c:f>Sheet3!$F$71:$K$71</c:f>
              <c:numCache>
                <c:formatCode>General</c:formatCode>
                <c:ptCount val="6"/>
                <c:pt idx="0">
                  <c:v>20.0</c:v>
                </c:pt>
                <c:pt idx="1">
                  <c:v>44.0</c:v>
                </c:pt>
                <c:pt idx="2">
                  <c:v>60.0</c:v>
                </c:pt>
                <c:pt idx="3">
                  <c:v>75.0</c:v>
                </c:pt>
                <c:pt idx="4">
                  <c:v>100.0</c:v>
                </c:pt>
                <c:pt idx="5">
                  <c:v>125.0</c:v>
                </c:pt>
              </c:numCache>
            </c:numRef>
          </c:xVal>
          <c:yVal>
            <c:numRef>
              <c:f>Sheet3!$F$84:$K$84</c:f>
              <c:numCache>
                <c:formatCode>0.0000</c:formatCode>
                <c:ptCount val="6"/>
                <c:pt idx="0">
                  <c:v>0.4739336492891</c:v>
                </c:pt>
                <c:pt idx="1">
                  <c:v>0.608272506082725</c:v>
                </c:pt>
                <c:pt idx="2">
                  <c:v>0.666666666666667</c:v>
                </c:pt>
                <c:pt idx="3">
                  <c:v>0.713266761768902</c:v>
                </c:pt>
                <c:pt idx="4">
                  <c:v>0.766283524904215</c:v>
                </c:pt>
                <c:pt idx="5">
                  <c:v>0.801282051282051</c:v>
                </c:pt>
              </c:numCache>
            </c:numRef>
          </c:yVal>
          <c:smooth val="1"/>
        </c:ser>
        <c:ser>
          <c:idx val="1"/>
          <c:order val="1"/>
          <c:tx>
            <c:v>1pF BL Load</c:v>
          </c:tx>
          <c:xVal>
            <c:numRef>
              <c:f>Sheet3!$F$71:$K$71</c:f>
              <c:numCache>
                <c:formatCode>General</c:formatCode>
                <c:ptCount val="6"/>
                <c:pt idx="0">
                  <c:v>20.0</c:v>
                </c:pt>
                <c:pt idx="1">
                  <c:v>44.0</c:v>
                </c:pt>
                <c:pt idx="2">
                  <c:v>60.0</c:v>
                </c:pt>
                <c:pt idx="3">
                  <c:v>75.0</c:v>
                </c:pt>
                <c:pt idx="4">
                  <c:v>100.0</c:v>
                </c:pt>
                <c:pt idx="5">
                  <c:v>125.0</c:v>
                </c:pt>
              </c:numCache>
            </c:numRef>
          </c:xVal>
          <c:yVal>
            <c:numRef>
              <c:f>Sheet3!$F$85:$K$85</c:f>
              <c:numCache>
                <c:formatCode>0.0000</c:formatCode>
                <c:ptCount val="6"/>
                <c:pt idx="0">
                  <c:v>0.510204081632653</c:v>
                </c:pt>
                <c:pt idx="1">
                  <c:v>0.606428138265615</c:v>
                </c:pt>
                <c:pt idx="2">
                  <c:v>0.652741514360313</c:v>
                </c:pt>
                <c:pt idx="3">
                  <c:v>0.699300699300699</c:v>
                </c:pt>
                <c:pt idx="4">
                  <c:v>0.744601638123604</c:v>
                </c:pt>
                <c:pt idx="5">
                  <c:v>0.777604976671851</c:v>
                </c:pt>
              </c:numCache>
            </c:numRef>
          </c:yVal>
          <c:smooth val="1"/>
        </c:ser>
        <c:ser>
          <c:idx val="2"/>
          <c:order val="2"/>
          <c:tx>
            <c:v>2pF BL Load</c:v>
          </c:tx>
          <c:xVal>
            <c:numRef>
              <c:f>Sheet3!$F$71:$K$71</c:f>
              <c:numCache>
                <c:formatCode>General</c:formatCode>
                <c:ptCount val="6"/>
                <c:pt idx="0">
                  <c:v>20.0</c:v>
                </c:pt>
                <c:pt idx="1">
                  <c:v>44.0</c:v>
                </c:pt>
                <c:pt idx="2">
                  <c:v>60.0</c:v>
                </c:pt>
                <c:pt idx="3">
                  <c:v>75.0</c:v>
                </c:pt>
                <c:pt idx="4">
                  <c:v>100.0</c:v>
                </c:pt>
                <c:pt idx="5">
                  <c:v>125.0</c:v>
                </c:pt>
              </c:numCache>
            </c:numRef>
          </c:xVal>
          <c:yVal>
            <c:numRef>
              <c:f>Sheet3!$F$86:$K$86</c:f>
              <c:numCache>
                <c:formatCode>0.0000</c:formatCode>
                <c:ptCount val="6"/>
                <c:pt idx="0">
                  <c:v>0.548546352166758</c:v>
                </c:pt>
                <c:pt idx="1">
                  <c:v>0.618811881188119</c:v>
                </c:pt>
                <c:pt idx="2">
                  <c:v>0.655307994757536</c:v>
                </c:pt>
                <c:pt idx="3">
                  <c:v>0.696378830083565</c:v>
                </c:pt>
                <c:pt idx="4">
                  <c:v>0.733675715333822</c:v>
                </c:pt>
                <c:pt idx="5">
                  <c:v>0.763941940412529</c:v>
                </c:pt>
              </c:numCache>
            </c:numRef>
          </c:yVal>
          <c:smooth val="1"/>
        </c:ser>
        <c:ser>
          <c:idx val="3"/>
          <c:order val="3"/>
          <c:tx>
            <c:v>4pF BL Load</c:v>
          </c:tx>
          <c:spPr>
            <a:ln>
              <a:solidFill>
                <a:srgbClr val="008000"/>
              </a:solidFill>
            </a:ln>
          </c:spPr>
          <c:marker>
            <c:spPr>
              <a:ln>
                <a:solidFill>
                  <a:srgbClr val="008000"/>
                </a:solidFill>
              </a:ln>
            </c:spPr>
          </c:marker>
          <c:xVal>
            <c:numRef>
              <c:f>Sheet3!$F$71:$K$71</c:f>
              <c:numCache>
                <c:formatCode>General</c:formatCode>
                <c:ptCount val="6"/>
                <c:pt idx="0">
                  <c:v>20.0</c:v>
                </c:pt>
                <c:pt idx="1">
                  <c:v>44.0</c:v>
                </c:pt>
                <c:pt idx="2">
                  <c:v>60.0</c:v>
                </c:pt>
                <c:pt idx="3">
                  <c:v>75.0</c:v>
                </c:pt>
                <c:pt idx="4">
                  <c:v>100.0</c:v>
                </c:pt>
                <c:pt idx="5">
                  <c:v>125.0</c:v>
                </c:pt>
              </c:numCache>
            </c:numRef>
          </c:xVal>
          <c:yVal>
            <c:numRef>
              <c:f>Sheet3!$F$87:$K$87</c:f>
              <c:numCache>
                <c:formatCode>0.0000</c:formatCode>
                <c:ptCount val="6"/>
                <c:pt idx="0">
                  <c:v>0.619195046439628</c:v>
                </c:pt>
                <c:pt idx="1">
                  <c:v>0.656167979002625</c:v>
                </c:pt>
                <c:pt idx="2">
                  <c:v>0.677966101694915</c:v>
                </c:pt>
                <c:pt idx="3">
                  <c:v>0.706214689265537</c:v>
                </c:pt>
                <c:pt idx="4">
                  <c:v>0.732600732600732</c:v>
                </c:pt>
                <c:pt idx="5">
                  <c:v>0.755287009063444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7110232"/>
        <c:axId val="2143654360"/>
      </c:scatterChart>
      <c:valAx>
        <c:axId val="1777110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Settling Time (ns)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43654360"/>
        <c:crosses val="autoZero"/>
        <c:crossBetween val="midCat"/>
      </c:valAx>
      <c:valAx>
        <c:axId val="2143654360"/>
        <c:scaling>
          <c:orientation val="minMax"/>
          <c:min val="0.35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Partial Setting</a:t>
                </a:r>
                <a:r>
                  <a:rPr lang="en-US" sz="1200" baseline="0"/>
                  <a:t> Percentage</a:t>
                </a:r>
                <a:endParaRPr lang="en-US" sz="1200"/>
              </a:p>
            </c:rich>
          </c:tx>
          <c:layout/>
          <c:overlay val="0"/>
        </c:title>
        <c:numFmt formatCode="0.0000" sourceLinked="1"/>
        <c:majorTickMark val="none"/>
        <c:minorTickMark val="none"/>
        <c:tickLblPos val="nextTo"/>
        <c:crossAx val="17771102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Partial Settling Percentage vs Settling Time @110%VDD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0pF BL Load</c:v>
          </c:tx>
          <c:xVal>
            <c:numRef>
              <c:f>Sheet3!$F$71:$K$71</c:f>
              <c:numCache>
                <c:formatCode>General</c:formatCode>
                <c:ptCount val="6"/>
                <c:pt idx="0">
                  <c:v>20.0</c:v>
                </c:pt>
                <c:pt idx="1">
                  <c:v>44.0</c:v>
                </c:pt>
                <c:pt idx="2">
                  <c:v>60.0</c:v>
                </c:pt>
                <c:pt idx="3">
                  <c:v>75.0</c:v>
                </c:pt>
                <c:pt idx="4">
                  <c:v>100.0</c:v>
                </c:pt>
                <c:pt idx="5">
                  <c:v>125.0</c:v>
                </c:pt>
              </c:numCache>
            </c:numRef>
          </c:xVal>
          <c:yVal>
            <c:numRef>
              <c:f>Sheet3!$F$88:$K$88</c:f>
              <c:numCache>
                <c:formatCode>0.0000</c:formatCode>
                <c:ptCount val="6"/>
                <c:pt idx="0">
                  <c:v>0.488758553274682</c:v>
                </c:pt>
                <c:pt idx="1">
                  <c:v>0.625782227784731</c:v>
                </c:pt>
                <c:pt idx="2">
                  <c:v>0.684931506849315</c:v>
                </c:pt>
                <c:pt idx="3">
                  <c:v>0.733137829912023</c:v>
                </c:pt>
                <c:pt idx="4">
                  <c:v>0.78064012490242</c:v>
                </c:pt>
                <c:pt idx="5">
                  <c:v>0.814995925020375</c:v>
                </c:pt>
              </c:numCache>
            </c:numRef>
          </c:yVal>
          <c:smooth val="1"/>
        </c:ser>
        <c:ser>
          <c:idx val="1"/>
          <c:order val="1"/>
          <c:tx>
            <c:v>1pF BL Load</c:v>
          </c:tx>
          <c:xVal>
            <c:numRef>
              <c:f>Sheet3!$F$71:$K$71</c:f>
              <c:numCache>
                <c:formatCode>General</c:formatCode>
                <c:ptCount val="6"/>
                <c:pt idx="0">
                  <c:v>20.0</c:v>
                </c:pt>
                <c:pt idx="1">
                  <c:v>44.0</c:v>
                </c:pt>
                <c:pt idx="2">
                  <c:v>60.0</c:v>
                </c:pt>
                <c:pt idx="3">
                  <c:v>75.0</c:v>
                </c:pt>
                <c:pt idx="4">
                  <c:v>100.0</c:v>
                </c:pt>
                <c:pt idx="5">
                  <c:v>125.0</c:v>
                </c:pt>
              </c:numCache>
            </c:numRef>
          </c:xVal>
          <c:yVal>
            <c:numRef>
              <c:f>Sheet3!$F$89:$K$89</c:f>
              <c:numCache>
                <c:formatCode>0.0000</c:formatCode>
                <c:ptCount val="6"/>
                <c:pt idx="0">
                  <c:v>0.523286237571952</c:v>
                </c:pt>
                <c:pt idx="1">
                  <c:v>0.622277535780958</c:v>
                </c:pt>
                <c:pt idx="2">
                  <c:v>0.669344042838019</c:v>
                </c:pt>
                <c:pt idx="3">
                  <c:v>0.715819613457409</c:v>
                </c:pt>
                <c:pt idx="4">
                  <c:v>0.760456273764259</c:v>
                </c:pt>
                <c:pt idx="5">
                  <c:v>0.792393026941363</c:v>
                </c:pt>
              </c:numCache>
            </c:numRef>
          </c:yVal>
          <c:smooth val="1"/>
        </c:ser>
        <c:ser>
          <c:idx val="2"/>
          <c:order val="2"/>
          <c:tx>
            <c:v>2pF BL Load</c:v>
          </c:tx>
          <c:xVal>
            <c:numRef>
              <c:f>Sheet3!$F$71:$K$71</c:f>
              <c:numCache>
                <c:formatCode>General</c:formatCode>
                <c:ptCount val="6"/>
                <c:pt idx="0">
                  <c:v>20.0</c:v>
                </c:pt>
                <c:pt idx="1">
                  <c:v>44.0</c:v>
                </c:pt>
                <c:pt idx="2">
                  <c:v>60.0</c:v>
                </c:pt>
                <c:pt idx="3">
                  <c:v>75.0</c:v>
                </c:pt>
                <c:pt idx="4">
                  <c:v>100.0</c:v>
                </c:pt>
                <c:pt idx="5">
                  <c:v>125.0</c:v>
                </c:pt>
              </c:numCache>
            </c:numRef>
          </c:xVal>
          <c:yVal>
            <c:numRef>
              <c:f>Sheet3!$F$90:$K$90</c:f>
              <c:numCache>
                <c:formatCode>0.0000</c:formatCode>
                <c:ptCount val="6"/>
                <c:pt idx="0">
                  <c:v>0.559910414333707</c:v>
                </c:pt>
                <c:pt idx="1">
                  <c:v>0.632911392405063</c:v>
                </c:pt>
                <c:pt idx="2">
                  <c:v>0.669792364367046</c:v>
                </c:pt>
                <c:pt idx="3">
                  <c:v>0.710732054015636</c:v>
                </c:pt>
                <c:pt idx="4">
                  <c:v>0.748502994011976</c:v>
                </c:pt>
                <c:pt idx="5">
                  <c:v>0.777000777000777</c:v>
                </c:pt>
              </c:numCache>
            </c:numRef>
          </c:yVal>
          <c:smooth val="1"/>
        </c:ser>
        <c:ser>
          <c:idx val="3"/>
          <c:order val="3"/>
          <c:tx>
            <c:v>4pF BL Load</c:v>
          </c:tx>
          <c:spPr>
            <a:ln>
              <a:solidFill>
                <a:srgbClr val="008000"/>
              </a:solidFill>
            </a:ln>
          </c:spPr>
          <c:marker>
            <c:spPr>
              <a:ln>
                <a:solidFill>
                  <a:srgbClr val="008000"/>
                </a:solidFill>
              </a:ln>
            </c:spPr>
          </c:marker>
          <c:xVal>
            <c:numRef>
              <c:f>Sheet3!$F$71:$K$71</c:f>
              <c:numCache>
                <c:formatCode>General</c:formatCode>
                <c:ptCount val="6"/>
                <c:pt idx="0">
                  <c:v>20.0</c:v>
                </c:pt>
                <c:pt idx="1">
                  <c:v>44.0</c:v>
                </c:pt>
                <c:pt idx="2">
                  <c:v>60.0</c:v>
                </c:pt>
                <c:pt idx="3">
                  <c:v>75.0</c:v>
                </c:pt>
                <c:pt idx="4">
                  <c:v>100.0</c:v>
                </c:pt>
                <c:pt idx="5">
                  <c:v>125.0</c:v>
                </c:pt>
              </c:numCache>
            </c:numRef>
          </c:xVal>
          <c:yVal>
            <c:numRef>
              <c:f>Sheet3!$F$91:$K$91</c:f>
              <c:numCache>
                <c:formatCode>0.0000</c:formatCode>
                <c:ptCount val="6"/>
                <c:pt idx="0">
                  <c:v>0.628535512256442</c:v>
                </c:pt>
                <c:pt idx="1">
                  <c:v>0.667556742323097</c:v>
                </c:pt>
                <c:pt idx="2">
                  <c:v>0.689655172413793</c:v>
                </c:pt>
                <c:pt idx="3">
                  <c:v>0.719424460431655</c:v>
                </c:pt>
                <c:pt idx="4">
                  <c:v>0.745156482861401</c:v>
                </c:pt>
                <c:pt idx="5">
                  <c:v>0.766871165644172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7227720"/>
        <c:axId val="1777839848"/>
      </c:scatterChart>
      <c:valAx>
        <c:axId val="1777227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Settling Time (ns)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777839848"/>
        <c:crosses val="autoZero"/>
        <c:crossBetween val="midCat"/>
      </c:valAx>
      <c:valAx>
        <c:axId val="1777839848"/>
        <c:scaling>
          <c:orientation val="minMax"/>
          <c:min val="0.35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Partial Setting</a:t>
                </a:r>
                <a:r>
                  <a:rPr lang="en-US" sz="1200" baseline="0"/>
                  <a:t> Percentage</a:t>
                </a:r>
                <a:endParaRPr lang="en-US" sz="1200"/>
              </a:p>
            </c:rich>
          </c:tx>
          <c:layout/>
          <c:overlay val="0"/>
        </c:title>
        <c:numFmt formatCode="0.0000" sourceLinked="1"/>
        <c:majorTickMark val="none"/>
        <c:minorTickMark val="none"/>
        <c:tickLblPos val="nextTo"/>
        <c:crossAx val="17772277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75165419584983"/>
          <c:y val="0.108351177730193"/>
          <c:w val="0.807362204724409"/>
          <c:h val="0.84808005530357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light readout</c:v>
                </c:pt>
              </c:strCache>
            </c:strRef>
          </c:tx>
          <c:xVal>
            <c:numRef>
              <c:f>Sheet4!$A$3:$A$45</c:f>
              <c:numCache>
                <c:formatCode>General</c:formatCode>
                <c:ptCount val="43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</c:numCache>
            </c:numRef>
          </c:xVal>
          <c:yVal>
            <c:numRef>
              <c:f>Sheet4!$B$2:$B$45</c:f>
              <c:numCache>
                <c:formatCode>General</c:formatCode>
                <c:ptCount val="44"/>
                <c:pt idx="0">
                  <c:v>0.3384</c:v>
                </c:pt>
                <c:pt idx="1">
                  <c:v>0.3618</c:v>
                </c:pt>
                <c:pt idx="2">
                  <c:v>0.382</c:v>
                </c:pt>
                <c:pt idx="3">
                  <c:v>0.4034</c:v>
                </c:pt>
                <c:pt idx="4">
                  <c:v>0.4256</c:v>
                </c:pt>
                <c:pt idx="5">
                  <c:v>0.4458</c:v>
                </c:pt>
                <c:pt idx="6">
                  <c:v>0.4675</c:v>
                </c:pt>
                <c:pt idx="7">
                  <c:v>0.4902</c:v>
                </c:pt>
                <c:pt idx="8">
                  <c:v>0.513</c:v>
                </c:pt>
                <c:pt idx="9">
                  <c:v>0.5353</c:v>
                </c:pt>
                <c:pt idx="10">
                  <c:v>0.5585</c:v>
                </c:pt>
                <c:pt idx="11">
                  <c:v>0.5821</c:v>
                </c:pt>
                <c:pt idx="12">
                  <c:v>0.6057</c:v>
                </c:pt>
                <c:pt idx="13">
                  <c:v>0.6309</c:v>
                </c:pt>
                <c:pt idx="14">
                  <c:v>0.6525</c:v>
                </c:pt>
                <c:pt idx="15">
                  <c:v>0.6769</c:v>
                </c:pt>
                <c:pt idx="16">
                  <c:v>0.7004</c:v>
                </c:pt>
                <c:pt idx="17">
                  <c:v>0.7223</c:v>
                </c:pt>
                <c:pt idx="18">
                  <c:v>0.7457</c:v>
                </c:pt>
                <c:pt idx="19">
                  <c:v>0.7705</c:v>
                </c:pt>
                <c:pt idx="20">
                  <c:v>0.7945</c:v>
                </c:pt>
                <c:pt idx="21">
                  <c:v>0.8125</c:v>
                </c:pt>
                <c:pt idx="22">
                  <c:v>0.836</c:v>
                </c:pt>
                <c:pt idx="23">
                  <c:v>0.8578</c:v>
                </c:pt>
                <c:pt idx="24">
                  <c:v>0.8814</c:v>
                </c:pt>
                <c:pt idx="25">
                  <c:v>0.9026</c:v>
                </c:pt>
                <c:pt idx="26">
                  <c:v>0.9256</c:v>
                </c:pt>
                <c:pt idx="27">
                  <c:v>0.9462</c:v>
                </c:pt>
                <c:pt idx="28">
                  <c:v>0.9667</c:v>
                </c:pt>
                <c:pt idx="29">
                  <c:v>0.9892</c:v>
                </c:pt>
                <c:pt idx="30">
                  <c:v>1.0149</c:v>
                </c:pt>
                <c:pt idx="31">
                  <c:v>1.0338</c:v>
                </c:pt>
                <c:pt idx="32">
                  <c:v>1.0569</c:v>
                </c:pt>
                <c:pt idx="33">
                  <c:v>1.0737</c:v>
                </c:pt>
                <c:pt idx="34">
                  <c:v>1.0951</c:v>
                </c:pt>
                <c:pt idx="35">
                  <c:v>1.1163</c:v>
                </c:pt>
                <c:pt idx="36">
                  <c:v>1.1478</c:v>
                </c:pt>
                <c:pt idx="37">
                  <c:v>1.1911</c:v>
                </c:pt>
                <c:pt idx="38">
                  <c:v>1.2165</c:v>
                </c:pt>
                <c:pt idx="39">
                  <c:v>1.2515</c:v>
                </c:pt>
                <c:pt idx="40">
                  <c:v>1.2816</c:v>
                </c:pt>
                <c:pt idx="41">
                  <c:v>1.3134</c:v>
                </c:pt>
                <c:pt idx="42">
                  <c:v>1.3182</c:v>
                </c:pt>
                <c:pt idx="43">
                  <c:v>1.3206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4720728"/>
        <c:axId val="2144813560"/>
      </c:scatterChart>
      <c:valAx>
        <c:axId val="2144720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4813560"/>
        <c:crosses val="autoZero"/>
        <c:crossBetween val="midCat"/>
      </c:valAx>
      <c:valAx>
        <c:axId val="2144813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47207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608323355823813"/>
          <c:y val="0.126842837273992"/>
          <c:w val="0.869670108320539"/>
          <c:h val="0.80265197726501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Sheet4!$D$1</c:f>
              <c:strCache>
                <c:ptCount val="1"/>
                <c:pt idx="0">
                  <c:v>weak 1204</c:v>
                </c:pt>
              </c:strCache>
            </c:strRef>
          </c:tx>
          <c:trendline>
            <c:trendlineType val="linear"/>
            <c:dispRSqr val="0"/>
            <c:dispEq val="1"/>
            <c:trendlineLbl>
              <c:layout/>
              <c:numFmt formatCode="General" sourceLinked="0"/>
            </c:trendlineLbl>
          </c:trendline>
          <c:xVal>
            <c:strRef>
              <c:f>Sheet4!$A$1:$A$33</c:f>
              <c:strCache>
                <c:ptCount val="33"/>
                <c:pt idx="0">
                  <c:v>light step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</c:strCache>
            </c:strRef>
          </c:xVal>
          <c:yVal>
            <c:numRef>
              <c:f>Sheet4!$D$2:$D$33</c:f>
              <c:numCache>
                <c:formatCode>General</c:formatCode>
                <c:ptCount val="32"/>
                <c:pt idx="0">
                  <c:v>0.0387</c:v>
                </c:pt>
                <c:pt idx="1">
                  <c:v>0.0401</c:v>
                </c:pt>
                <c:pt idx="2">
                  <c:v>0.0416</c:v>
                </c:pt>
                <c:pt idx="3">
                  <c:v>0.0432</c:v>
                </c:pt>
                <c:pt idx="4">
                  <c:v>0.0449</c:v>
                </c:pt>
                <c:pt idx="5">
                  <c:v>0.0464</c:v>
                </c:pt>
                <c:pt idx="6">
                  <c:v>0.0481</c:v>
                </c:pt>
                <c:pt idx="7">
                  <c:v>0.0497</c:v>
                </c:pt>
                <c:pt idx="8">
                  <c:v>0.0518</c:v>
                </c:pt>
                <c:pt idx="9">
                  <c:v>0.0535</c:v>
                </c:pt>
                <c:pt idx="10">
                  <c:v>0.0552</c:v>
                </c:pt>
                <c:pt idx="11">
                  <c:v>0.0569</c:v>
                </c:pt>
                <c:pt idx="12">
                  <c:v>0.0586</c:v>
                </c:pt>
                <c:pt idx="13">
                  <c:v>0.0604</c:v>
                </c:pt>
                <c:pt idx="14">
                  <c:v>0.0621</c:v>
                </c:pt>
                <c:pt idx="15">
                  <c:v>0.0632</c:v>
                </c:pt>
                <c:pt idx="16">
                  <c:v>0.0649</c:v>
                </c:pt>
                <c:pt idx="17">
                  <c:v>0.0672</c:v>
                </c:pt>
                <c:pt idx="18">
                  <c:v>0.069</c:v>
                </c:pt>
                <c:pt idx="19">
                  <c:v>0.0707</c:v>
                </c:pt>
                <c:pt idx="20">
                  <c:v>0.0723</c:v>
                </c:pt>
                <c:pt idx="21">
                  <c:v>0.074</c:v>
                </c:pt>
                <c:pt idx="22">
                  <c:v>0.0756</c:v>
                </c:pt>
                <c:pt idx="23">
                  <c:v>0.0766</c:v>
                </c:pt>
                <c:pt idx="24">
                  <c:v>0.0784</c:v>
                </c:pt>
                <c:pt idx="25">
                  <c:v>0.0798</c:v>
                </c:pt>
                <c:pt idx="26">
                  <c:v>0.0822</c:v>
                </c:pt>
                <c:pt idx="27">
                  <c:v>0.0838</c:v>
                </c:pt>
                <c:pt idx="28">
                  <c:v>0.0844</c:v>
                </c:pt>
                <c:pt idx="29">
                  <c:v>0.0859</c:v>
                </c:pt>
                <c:pt idx="30">
                  <c:v>0.0871</c:v>
                </c:pt>
                <c:pt idx="31">
                  <c:v>0.0888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3539976"/>
        <c:axId val="1777715048"/>
      </c:scatterChart>
      <c:valAx>
        <c:axId val="1793539976"/>
        <c:scaling>
          <c:orientation val="minMax"/>
        </c:scaling>
        <c:delete val="0"/>
        <c:axPos val="b"/>
        <c:majorTickMark val="out"/>
        <c:minorTickMark val="none"/>
        <c:tickLblPos val="nextTo"/>
        <c:crossAx val="1777715048"/>
        <c:crosses val="autoZero"/>
        <c:crossBetween val="midCat"/>
      </c:valAx>
      <c:valAx>
        <c:axId val="1777715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935399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30725987069148"/>
          <c:y val="0.478350727716754"/>
          <c:w val="0.254834902630178"/>
          <c:h val="0.111726917306408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Sheet4!$E$1</c:f>
              <c:strCache>
                <c:ptCount val="1"/>
                <c:pt idx="0">
                  <c:v>noise</c:v>
                </c:pt>
              </c:strCache>
            </c:strRef>
          </c:tx>
          <c:trendline>
            <c:trendlineType val="linear"/>
            <c:dispRSqr val="0"/>
            <c:dispEq val="1"/>
            <c:trendlineLbl>
              <c:layout/>
              <c:numFmt formatCode="General" sourceLinked="0"/>
            </c:trendlineLbl>
          </c:trendline>
          <c:xVal>
            <c:strRef>
              <c:f>Sheet4!$A$1:$A$33</c:f>
              <c:strCache>
                <c:ptCount val="33"/>
                <c:pt idx="0">
                  <c:v>light step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</c:strCache>
            </c:strRef>
          </c:xVal>
          <c:yVal>
            <c:numRef>
              <c:f>Sheet4!$G$2:$G$33</c:f>
              <c:numCache>
                <c:formatCode>General</c:formatCode>
                <c:ptCount val="32"/>
                <c:pt idx="0">
                  <c:v>0.5625</c:v>
                </c:pt>
                <c:pt idx="1">
                  <c:v>0.4489</c:v>
                </c:pt>
                <c:pt idx="2">
                  <c:v>0.6561</c:v>
                </c:pt>
                <c:pt idx="3">
                  <c:v>0.64</c:v>
                </c:pt>
                <c:pt idx="4">
                  <c:v>1.1449</c:v>
                </c:pt>
                <c:pt idx="5">
                  <c:v>0.8281</c:v>
                </c:pt>
                <c:pt idx="6">
                  <c:v>1.0404</c:v>
                </c:pt>
                <c:pt idx="7">
                  <c:v>1.0816</c:v>
                </c:pt>
                <c:pt idx="8">
                  <c:v>0.5776</c:v>
                </c:pt>
                <c:pt idx="9">
                  <c:v>1.1881</c:v>
                </c:pt>
                <c:pt idx="10">
                  <c:v>2.4964</c:v>
                </c:pt>
                <c:pt idx="11">
                  <c:v>0.7396</c:v>
                </c:pt>
                <c:pt idx="12">
                  <c:v>1.4884</c:v>
                </c:pt>
                <c:pt idx="13">
                  <c:v>1.3225</c:v>
                </c:pt>
                <c:pt idx="14">
                  <c:v>2.4336</c:v>
                </c:pt>
                <c:pt idx="15">
                  <c:v>1.0816</c:v>
                </c:pt>
                <c:pt idx="16">
                  <c:v>0.2601</c:v>
                </c:pt>
                <c:pt idx="17">
                  <c:v>1.2996</c:v>
                </c:pt>
                <c:pt idx="18">
                  <c:v>2.3409</c:v>
                </c:pt>
                <c:pt idx="19">
                  <c:v>0.5476</c:v>
                </c:pt>
                <c:pt idx="20">
                  <c:v>3.2041</c:v>
                </c:pt>
                <c:pt idx="21">
                  <c:v>1.2996</c:v>
                </c:pt>
                <c:pt idx="22">
                  <c:v>6.002500000000001</c:v>
                </c:pt>
                <c:pt idx="23">
                  <c:v>3.4225</c:v>
                </c:pt>
                <c:pt idx="24">
                  <c:v>0.6561</c:v>
                </c:pt>
                <c:pt idx="25">
                  <c:v>0.3969</c:v>
                </c:pt>
                <c:pt idx="28">
                  <c:v>2.4336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6303384"/>
        <c:axId val="1810309160"/>
      </c:scatterChart>
      <c:valAx>
        <c:axId val="1806303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10309160"/>
        <c:crosses val="autoZero"/>
        <c:crossBetween val="midCat"/>
      </c:valAx>
      <c:valAx>
        <c:axId val="1810309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063033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en-US" sz="2400"/>
              <a:t>Input</a:t>
            </a:r>
            <a:r>
              <a:rPr lang="en-US" sz="2400" baseline="0"/>
              <a:t> Referred Differential Sigma Error </a:t>
            </a:r>
            <a:endParaRPr lang="en-US" sz="2400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-25C</c:v>
          </c:tx>
          <c:spPr>
            <a:ln>
              <a:solidFill>
                <a:schemeClr val="accent1">
                  <a:lumMod val="75000"/>
                </a:schemeClr>
              </a:solidFill>
            </a:ln>
          </c:spPr>
          <c:marker>
            <c:spPr>
              <a:ln>
                <a:solidFill>
                  <a:schemeClr val="accent1">
                    <a:lumMod val="75000"/>
                  </a:schemeClr>
                </a:solidFill>
              </a:ln>
            </c:spPr>
          </c:marker>
          <c:xVal>
            <c:numRef>
              <c:f>Sheet5!$B$3:$B$7</c:f>
              <c:numCache>
                <c:formatCode>General</c:formatCode>
                <c:ptCount val="5"/>
                <c:pt idx="0">
                  <c:v>0.9</c:v>
                </c:pt>
                <c:pt idx="1">
                  <c:v>0.95</c:v>
                </c:pt>
                <c:pt idx="2">
                  <c:v>1.0</c:v>
                </c:pt>
                <c:pt idx="3">
                  <c:v>1.05</c:v>
                </c:pt>
                <c:pt idx="4">
                  <c:v>1.1</c:v>
                </c:pt>
              </c:numCache>
            </c:numRef>
          </c:xVal>
          <c:yVal>
            <c:numRef>
              <c:f>Sheet5!$F$3:$F$7</c:f>
              <c:numCache>
                <c:formatCode>0.0000</c:formatCode>
                <c:ptCount val="5"/>
                <c:pt idx="1">
                  <c:v>0.645164227154606</c:v>
                </c:pt>
                <c:pt idx="2">
                  <c:v>0.636396103067893</c:v>
                </c:pt>
              </c:numCache>
            </c:numRef>
          </c:yVal>
          <c:smooth val="1"/>
        </c:ser>
        <c:ser>
          <c:idx val="1"/>
          <c:order val="1"/>
          <c:tx>
            <c:v>0C</c:v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pPr>
              <a:solidFill>
                <a:schemeClr val="accent1">
                  <a:lumMod val="60000"/>
                  <a:lumOff val="40000"/>
                </a:schemeClr>
              </a:solidFill>
              <a:ln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xVal>
            <c:numRef>
              <c:f>Sheet5!$B$8:$B$12</c:f>
              <c:numCache>
                <c:formatCode>General</c:formatCode>
                <c:ptCount val="5"/>
                <c:pt idx="0">
                  <c:v>0.9</c:v>
                </c:pt>
                <c:pt idx="1">
                  <c:v>0.95</c:v>
                </c:pt>
                <c:pt idx="2">
                  <c:v>1.0</c:v>
                </c:pt>
                <c:pt idx="3">
                  <c:v>1.05</c:v>
                </c:pt>
                <c:pt idx="4">
                  <c:v>1.1</c:v>
                </c:pt>
              </c:numCache>
            </c:numRef>
          </c:xVal>
          <c:yVal>
            <c:numRef>
              <c:f>Sheet5!$F$8:$F$12</c:f>
              <c:numCache>
                <c:formatCode>0.0000</c:formatCode>
                <c:ptCount val="5"/>
                <c:pt idx="1">
                  <c:v>0.635688996286706</c:v>
                </c:pt>
                <c:pt idx="2">
                  <c:v>0.667084537371389</c:v>
                </c:pt>
                <c:pt idx="3">
                  <c:v>0.636113260355418</c:v>
                </c:pt>
                <c:pt idx="4">
                  <c:v>0.640497322398775</c:v>
                </c:pt>
              </c:numCache>
            </c:numRef>
          </c:yVal>
          <c:smooth val="1"/>
        </c:ser>
        <c:ser>
          <c:idx val="2"/>
          <c:order val="2"/>
          <c:tx>
            <c:v>25C</c:v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rgbClr val="008000"/>
              </a:solidFill>
              <a:ln>
                <a:solidFill>
                  <a:srgbClr val="008000"/>
                </a:solidFill>
              </a:ln>
            </c:spPr>
          </c:marker>
          <c:xVal>
            <c:numRef>
              <c:f>Sheet5!$B$13:$B$17</c:f>
              <c:numCache>
                <c:formatCode>General</c:formatCode>
                <c:ptCount val="5"/>
                <c:pt idx="0">
                  <c:v>0.9</c:v>
                </c:pt>
                <c:pt idx="1">
                  <c:v>0.95</c:v>
                </c:pt>
                <c:pt idx="2">
                  <c:v>1.0</c:v>
                </c:pt>
                <c:pt idx="3">
                  <c:v>1.05</c:v>
                </c:pt>
                <c:pt idx="4">
                  <c:v>1.1</c:v>
                </c:pt>
              </c:numCache>
            </c:numRef>
          </c:xVal>
          <c:yVal>
            <c:numRef>
              <c:f>Sheet5!$F$13:$F$17</c:f>
              <c:numCache>
                <c:formatCode>0.0000</c:formatCode>
                <c:ptCount val="5"/>
                <c:pt idx="0">
                  <c:v>0.652942401747658</c:v>
                </c:pt>
                <c:pt idx="1">
                  <c:v>0.650255395979149</c:v>
                </c:pt>
                <c:pt idx="2">
                  <c:v>0.635406153574231</c:v>
                </c:pt>
                <c:pt idx="3">
                  <c:v>0.660579154984473</c:v>
                </c:pt>
                <c:pt idx="4">
                  <c:v>0.677125453664238</c:v>
                </c:pt>
              </c:numCache>
            </c:numRef>
          </c:yVal>
          <c:smooth val="1"/>
        </c:ser>
        <c:ser>
          <c:idx val="3"/>
          <c:order val="3"/>
          <c:tx>
            <c:v>50C</c:v>
          </c:tx>
          <c:spPr>
            <a:ln>
              <a:solidFill>
                <a:schemeClr val="accent2"/>
              </a:solidFill>
            </a:ln>
          </c:spPr>
          <c:marker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Sheet5!$B$18:$B$22</c:f>
              <c:numCache>
                <c:formatCode>General</c:formatCode>
                <c:ptCount val="5"/>
                <c:pt idx="0">
                  <c:v>0.9</c:v>
                </c:pt>
                <c:pt idx="1">
                  <c:v>0.95</c:v>
                </c:pt>
                <c:pt idx="2">
                  <c:v>1.0</c:v>
                </c:pt>
                <c:pt idx="3">
                  <c:v>1.05</c:v>
                </c:pt>
                <c:pt idx="4">
                  <c:v>1.1</c:v>
                </c:pt>
              </c:numCache>
            </c:numRef>
          </c:xVal>
          <c:yVal>
            <c:numRef>
              <c:f>Sheet5!$F$18:$F$22</c:f>
              <c:numCache>
                <c:formatCode>0.0000</c:formatCode>
                <c:ptCount val="5"/>
                <c:pt idx="0">
                  <c:v>0.668640172289999</c:v>
                </c:pt>
                <c:pt idx="1">
                  <c:v>0.663407582109219</c:v>
                </c:pt>
                <c:pt idx="2">
                  <c:v>0.692964645562816</c:v>
                </c:pt>
                <c:pt idx="3">
                  <c:v>0.678115403157899</c:v>
                </c:pt>
                <c:pt idx="4">
                  <c:v>0.698621499812309</c:v>
                </c:pt>
              </c:numCache>
            </c:numRef>
          </c:yVal>
          <c:smooth val="1"/>
        </c:ser>
        <c:ser>
          <c:idx val="4"/>
          <c:order val="4"/>
          <c:tx>
            <c:v>75C</c:v>
          </c:tx>
          <c:spPr>
            <a:ln>
              <a:solidFill>
                <a:srgbClr val="FF0000"/>
              </a:solidFill>
            </a:ln>
          </c:spPr>
          <c:marker>
            <c:spPr>
              <a:ln>
                <a:solidFill>
                  <a:srgbClr val="FF0000"/>
                </a:solidFill>
              </a:ln>
            </c:spPr>
          </c:marker>
          <c:xVal>
            <c:numRef>
              <c:f>Sheet5!$B$23:$B$27</c:f>
              <c:numCache>
                <c:formatCode>General</c:formatCode>
                <c:ptCount val="5"/>
                <c:pt idx="0">
                  <c:v>0.9</c:v>
                </c:pt>
                <c:pt idx="1">
                  <c:v>0.95</c:v>
                </c:pt>
                <c:pt idx="2">
                  <c:v>1.0</c:v>
                </c:pt>
                <c:pt idx="3">
                  <c:v>1.05</c:v>
                </c:pt>
                <c:pt idx="4">
                  <c:v>1.1</c:v>
                </c:pt>
              </c:numCache>
            </c:numRef>
          </c:xVal>
          <c:yVal>
            <c:numRef>
              <c:f>Sheet5!$F$23:$F$27</c:f>
              <c:numCache>
                <c:formatCode>0.0000</c:formatCode>
                <c:ptCount val="5"/>
                <c:pt idx="0">
                  <c:v>0.702015612362004</c:v>
                </c:pt>
                <c:pt idx="1">
                  <c:v>0.703005561855665</c:v>
                </c:pt>
                <c:pt idx="2">
                  <c:v>0.704278354061801</c:v>
                </c:pt>
                <c:pt idx="3">
                  <c:v>0.684479364188578</c:v>
                </c:pt>
                <c:pt idx="4">
                  <c:v>0.673448498402068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1272552"/>
        <c:axId val="1778033704"/>
      </c:scatterChart>
      <c:valAx>
        <c:axId val="1791272552"/>
        <c:scaling>
          <c:orientation val="minMax"/>
          <c:max val="1.1"/>
          <c:min val="0.9"/>
        </c:scaling>
        <c:delete val="0"/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Voltage</a:t>
                </a:r>
                <a:r>
                  <a:rPr lang="en-US" sz="1600" baseline="0"/>
                  <a:t> Scale</a:t>
                </a:r>
                <a:endParaRPr lang="en-US" sz="1600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778033704"/>
        <c:crosses val="autoZero"/>
        <c:crossBetween val="midCat"/>
      </c:valAx>
      <c:valAx>
        <c:axId val="17780337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Error</a:t>
                </a:r>
                <a:r>
                  <a:rPr lang="en-US" sz="1600" baseline="0"/>
                  <a:t> (LSB)</a:t>
                </a:r>
                <a:endParaRPr lang="en-US" sz="1600"/>
              </a:p>
            </c:rich>
          </c:tx>
          <c:layout/>
          <c:overlay val="0"/>
        </c:title>
        <c:numFmt formatCode="0.0000" sourceLinked="1"/>
        <c:majorTickMark val="none"/>
        <c:minorTickMark val="none"/>
        <c:tickLblPos val="nextTo"/>
        <c:crossAx val="1791272552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0pF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Sheet1!$A$2:$A$4</c:f>
              <c:numCache>
                <c:formatCode>General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Sheet1!$B$2:$B$4</c:f>
              <c:numCache>
                <c:formatCode>General</c:formatCode>
                <c:ptCount val="3"/>
                <c:pt idx="0">
                  <c:v>0.448028673835125</c:v>
                </c:pt>
                <c:pt idx="1">
                  <c:v>0.5587</c:v>
                </c:pt>
                <c:pt idx="2">
                  <c:v>0.654450261780105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1pF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Sheet1!$A$2:$A$4</c:f>
              <c:numCache>
                <c:formatCode>General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Sheet1!$C$2:$C$4</c:f>
              <c:numCache>
                <c:formatCode>General</c:formatCode>
                <c:ptCount val="3"/>
                <c:pt idx="0">
                  <c:v>0.479616306954436</c:v>
                </c:pt>
                <c:pt idx="1">
                  <c:v>0.558659217877095</c:v>
                </c:pt>
                <c:pt idx="2">
                  <c:v>0.636942675159236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2pF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Sheet1!$A$2:$A$4</c:f>
              <c:numCache>
                <c:formatCode>General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Sheet1!$D$2:$D$4</c:f>
              <c:numCache>
                <c:formatCode>General</c:formatCode>
                <c:ptCount val="3"/>
                <c:pt idx="0">
                  <c:v>0.533902829684997</c:v>
                </c:pt>
                <c:pt idx="1">
                  <c:v>0.593119810201661</c:v>
                </c:pt>
                <c:pt idx="2">
                  <c:v>0.64143681847338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4pF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Sheet1!$A$2:$A$4</c:f>
              <c:numCache>
                <c:formatCode>General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Sheet1!$E$2:$E$4</c:f>
              <c:numCache>
                <c:formatCode>General</c:formatCode>
                <c:ptCount val="3"/>
                <c:pt idx="0">
                  <c:v>0.608642726719416</c:v>
                </c:pt>
                <c:pt idx="1">
                  <c:v>0.638162093171666</c:v>
                </c:pt>
                <c:pt idx="2">
                  <c:v>0.669792364367046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4547368"/>
        <c:axId val="2145071928"/>
      </c:scatterChart>
      <c:valAx>
        <c:axId val="2144547368"/>
        <c:scaling>
          <c:orientation val="minMax"/>
          <c:min val="15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5071928"/>
        <c:crosses val="autoZero"/>
        <c:crossBetween val="midCat"/>
      </c:valAx>
      <c:valAx>
        <c:axId val="2145071928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4547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en-US" sz="2400"/>
              <a:t>Input</a:t>
            </a:r>
            <a:r>
              <a:rPr lang="en-US" sz="2400" baseline="0"/>
              <a:t> Referred Read Sigma Noise</a:t>
            </a:r>
            <a:endParaRPr lang="en-US" sz="2400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-25C</c:v>
          </c:tx>
          <c:spPr>
            <a:ln>
              <a:solidFill>
                <a:schemeClr val="accent1">
                  <a:lumMod val="75000"/>
                </a:schemeClr>
              </a:solidFill>
            </a:ln>
          </c:spPr>
          <c:marker>
            <c:spPr>
              <a:ln>
                <a:solidFill>
                  <a:schemeClr val="accent1">
                    <a:lumMod val="75000"/>
                  </a:schemeClr>
                </a:solidFill>
              </a:ln>
            </c:spPr>
          </c:marker>
          <c:xVal>
            <c:numRef>
              <c:f>Sheet5!$B$3:$B$7</c:f>
              <c:numCache>
                <c:formatCode>General</c:formatCode>
                <c:ptCount val="5"/>
                <c:pt idx="0">
                  <c:v>0.9</c:v>
                </c:pt>
                <c:pt idx="1">
                  <c:v>0.95</c:v>
                </c:pt>
                <c:pt idx="2">
                  <c:v>1.0</c:v>
                </c:pt>
                <c:pt idx="3">
                  <c:v>1.05</c:v>
                </c:pt>
                <c:pt idx="4">
                  <c:v>1.1</c:v>
                </c:pt>
              </c:numCache>
            </c:numRef>
          </c:xVal>
          <c:yVal>
            <c:numRef>
              <c:f>Sheet5!$M$3:$M$7</c:f>
              <c:numCache>
                <c:formatCode>0.0000</c:formatCode>
                <c:ptCount val="5"/>
                <c:pt idx="0">
                  <c:v>0.42427494</c:v>
                </c:pt>
                <c:pt idx="1">
                  <c:v>0.4270023</c:v>
                </c:pt>
                <c:pt idx="2">
                  <c:v>0.42461586</c:v>
                </c:pt>
                <c:pt idx="3">
                  <c:v>0.41217228</c:v>
                </c:pt>
                <c:pt idx="4">
                  <c:v>0.42632046</c:v>
                </c:pt>
              </c:numCache>
            </c:numRef>
          </c:yVal>
          <c:smooth val="1"/>
        </c:ser>
        <c:ser>
          <c:idx val="1"/>
          <c:order val="1"/>
          <c:tx>
            <c:v>0C</c:v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pPr>
              <a:solidFill>
                <a:schemeClr val="accent1">
                  <a:lumMod val="60000"/>
                  <a:lumOff val="40000"/>
                </a:schemeClr>
              </a:solidFill>
              <a:ln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xVal>
            <c:numRef>
              <c:f>Sheet5!$B$8:$B$12</c:f>
              <c:numCache>
                <c:formatCode>General</c:formatCode>
                <c:ptCount val="5"/>
                <c:pt idx="0">
                  <c:v>0.9</c:v>
                </c:pt>
                <c:pt idx="1">
                  <c:v>0.95</c:v>
                </c:pt>
                <c:pt idx="2">
                  <c:v>1.0</c:v>
                </c:pt>
                <c:pt idx="3">
                  <c:v>1.05</c:v>
                </c:pt>
                <c:pt idx="4">
                  <c:v>1.1</c:v>
                </c:pt>
              </c:numCache>
            </c:numRef>
          </c:xVal>
          <c:yVal>
            <c:numRef>
              <c:f>Sheet5!$M$8:$M$12</c:f>
              <c:numCache>
                <c:formatCode>0.0000</c:formatCode>
                <c:ptCount val="5"/>
                <c:pt idx="0">
                  <c:v>0.4304115</c:v>
                </c:pt>
                <c:pt idx="1">
                  <c:v>0.45240084</c:v>
                </c:pt>
                <c:pt idx="2">
                  <c:v>0.46723086</c:v>
                </c:pt>
                <c:pt idx="3">
                  <c:v>0.44694612</c:v>
                </c:pt>
                <c:pt idx="4">
                  <c:v>0.45990108</c:v>
                </c:pt>
              </c:numCache>
            </c:numRef>
          </c:yVal>
          <c:smooth val="1"/>
        </c:ser>
        <c:ser>
          <c:idx val="2"/>
          <c:order val="2"/>
          <c:tx>
            <c:v>25C</c:v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rgbClr val="008000"/>
              </a:solidFill>
              <a:ln>
                <a:solidFill>
                  <a:srgbClr val="008000"/>
                </a:solidFill>
              </a:ln>
            </c:spPr>
          </c:marker>
          <c:xVal>
            <c:numRef>
              <c:f>Sheet5!$B$13:$B$17</c:f>
              <c:numCache>
                <c:formatCode>General</c:formatCode>
                <c:ptCount val="5"/>
                <c:pt idx="0">
                  <c:v>0.9</c:v>
                </c:pt>
                <c:pt idx="1">
                  <c:v>0.95</c:v>
                </c:pt>
                <c:pt idx="2">
                  <c:v>1.0</c:v>
                </c:pt>
                <c:pt idx="3">
                  <c:v>1.05</c:v>
                </c:pt>
                <c:pt idx="4">
                  <c:v>1.1</c:v>
                </c:pt>
              </c:numCache>
            </c:numRef>
          </c:xVal>
          <c:yVal>
            <c:numRef>
              <c:f>Sheet5!$M$13:$M$17</c:f>
              <c:numCache>
                <c:formatCode>0.0000</c:formatCode>
                <c:ptCount val="5"/>
                <c:pt idx="0">
                  <c:v>0.45240084</c:v>
                </c:pt>
                <c:pt idx="1">
                  <c:v>0.47404926</c:v>
                </c:pt>
                <c:pt idx="2">
                  <c:v>0.45376452</c:v>
                </c:pt>
                <c:pt idx="3">
                  <c:v>0.44455968</c:v>
                </c:pt>
                <c:pt idx="4">
                  <c:v>0.47950398</c:v>
                </c:pt>
              </c:numCache>
            </c:numRef>
          </c:yVal>
          <c:smooth val="1"/>
        </c:ser>
        <c:ser>
          <c:idx val="3"/>
          <c:order val="3"/>
          <c:tx>
            <c:v>50C</c:v>
          </c:tx>
          <c:spPr>
            <a:ln>
              <a:solidFill>
                <a:schemeClr val="accent2"/>
              </a:solidFill>
            </a:ln>
          </c:spPr>
          <c:marker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Sheet5!$B$18:$B$22</c:f>
              <c:numCache>
                <c:formatCode>General</c:formatCode>
                <c:ptCount val="5"/>
                <c:pt idx="0">
                  <c:v>0.9</c:v>
                </c:pt>
                <c:pt idx="1">
                  <c:v>0.95</c:v>
                </c:pt>
                <c:pt idx="2">
                  <c:v>1.0</c:v>
                </c:pt>
                <c:pt idx="3">
                  <c:v>1.05</c:v>
                </c:pt>
                <c:pt idx="4">
                  <c:v>1.1</c:v>
                </c:pt>
              </c:numCache>
            </c:numRef>
          </c:xVal>
          <c:yVal>
            <c:numRef>
              <c:f>Sheet5!$M$18:$M$22</c:f>
              <c:numCache>
                <c:formatCode>0.0000</c:formatCode>
                <c:ptCount val="5"/>
                <c:pt idx="0">
                  <c:v>0.46382166</c:v>
                </c:pt>
                <c:pt idx="1">
                  <c:v>0.47404926</c:v>
                </c:pt>
                <c:pt idx="2">
                  <c:v>0.47490156</c:v>
                </c:pt>
                <c:pt idx="3">
                  <c:v>0.4883679</c:v>
                </c:pt>
                <c:pt idx="4">
                  <c:v>0.45325314</c:v>
                </c:pt>
              </c:numCache>
            </c:numRef>
          </c:yVal>
          <c:smooth val="1"/>
        </c:ser>
        <c:ser>
          <c:idx val="4"/>
          <c:order val="4"/>
          <c:tx>
            <c:v>75C</c:v>
          </c:tx>
          <c:spPr>
            <a:ln>
              <a:solidFill>
                <a:srgbClr val="FF0000"/>
              </a:solidFill>
            </a:ln>
          </c:spPr>
          <c:marker>
            <c:spPr>
              <a:ln>
                <a:solidFill>
                  <a:srgbClr val="FF0000"/>
                </a:solidFill>
              </a:ln>
            </c:spPr>
          </c:marker>
          <c:xVal>
            <c:numRef>
              <c:f>Sheet5!$B$23:$B$27</c:f>
              <c:numCache>
                <c:formatCode>General</c:formatCode>
                <c:ptCount val="5"/>
                <c:pt idx="0">
                  <c:v>0.9</c:v>
                </c:pt>
                <c:pt idx="1">
                  <c:v>0.95</c:v>
                </c:pt>
                <c:pt idx="2">
                  <c:v>1.0</c:v>
                </c:pt>
                <c:pt idx="3">
                  <c:v>1.05</c:v>
                </c:pt>
                <c:pt idx="4">
                  <c:v>1.1</c:v>
                </c:pt>
              </c:numCache>
            </c:numRef>
          </c:xVal>
          <c:yVal>
            <c:numRef>
              <c:f>Sheet5!$M$23:$M$27</c:f>
              <c:numCache>
                <c:formatCode>0.0000</c:formatCode>
                <c:ptCount val="5"/>
                <c:pt idx="0">
                  <c:v>0.52348266</c:v>
                </c:pt>
                <c:pt idx="1">
                  <c:v>0.5079708</c:v>
                </c:pt>
                <c:pt idx="2">
                  <c:v>0.49382262</c:v>
                </c:pt>
                <c:pt idx="3">
                  <c:v>0.5011524</c:v>
                </c:pt>
                <c:pt idx="4">
                  <c:v>0.4849587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5925624"/>
        <c:axId val="2095766648"/>
      </c:scatterChart>
      <c:valAx>
        <c:axId val="2095925624"/>
        <c:scaling>
          <c:orientation val="minMax"/>
          <c:max val="1.1"/>
          <c:min val="0.9"/>
        </c:scaling>
        <c:delete val="0"/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Voltage</a:t>
                </a:r>
                <a:r>
                  <a:rPr lang="en-US" sz="1600" baseline="0"/>
                  <a:t> Scale</a:t>
                </a:r>
                <a:endParaRPr lang="en-US" sz="1600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95766648"/>
        <c:crosses val="autoZero"/>
        <c:crossBetween val="midCat"/>
      </c:valAx>
      <c:valAx>
        <c:axId val="2095766648"/>
        <c:scaling>
          <c:orientation val="minMax"/>
          <c:min val="0.4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Error</a:t>
                </a:r>
                <a:r>
                  <a:rPr lang="en-US" sz="1600" baseline="0"/>
                  <a:t> (LSB)</a:t>
                </a:r>
                <a:endParaRPr lang="en-US" sz="1600"/>
              </a:p>
            </c:rich>
          </c:tx>
          <c:layout/>
          <c:overlay val="0"/>
        </c:title>
        <c:numFmt formatCode="0.0000" sourceLinked="1"/>
        <c:majorTickMark val="none"/>
        <c:minorTickMark val="none"/>
        <c:tickLblPos val="nextTo"/>
        <c:crossAx val="2095925624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en-US" sz="2400"/>
              <a:t>Input</a:t>
            </a:r>
            <a:r>
              <a:rPr lang="en-US" sz="2400" baseline="0"/>
              <a:t> Referred Differential Sigma Error vs Voltage Scale @ Room Temperature</a:t>
            </a:r>
            <a:endParaRPr lang="en-US" sz="2400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2"/>
          <c:order val="0"/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ln>
                <a:solidFill>
                  <a:srgbClr val="008000"/>
                </a:solidFill>
              </a:ln>
            </c:spPr>
          </c:marker>
          <c:xVal>
            <c:numRef>
              <c:f>Sheet5!$B$13:$B$17</c:f>
              <c:numCache>
                <c:formatCode>General</c:formatCode>
                <c:ptCount val="5"/>
                <c:pt idx="0">
                  <c:v>0.9</c:v>
                </c:pt>
                <c:pt idx="1">
                  <c:v>0.95</c:v>
                </c:pt>
                <c:pt idx="2">
                  <c:v>1.0</c:v>
                </c:pt>
                <c:pt idx="3">
                  <c:v>1.05</c:v>
                </c:pt>
                <c:pt idx="4">
                  <c:v>1.1</c:v>
                </c:pt>
              </c:numCache>
            </c:numRef>
          </c:xVal>
          <c:yVal>
            <c:numRef>
              <c:f>Sheet5!$F$13:$F$17</c:f>
              <c:numCache>
                <c:formatCode>0.0000</c:formatCode>
                <c:ptCount val="5"/>
                <c:pt idx="0">
                  <c:v>0.652942401747658</c:v>
                </c:pt>
                <c:pt idx="1">
                  <c:v>0.650255395979149</c:v>
                </c:pt>
                <c:pt idx="2">
                  <c:v>0.635406153574231</c:v>
                </c:pt>
                <c:pt idx="3">
                  <c:v>0.660579154984473</c:v>
                </c:pt>
                <c:pt idx="4">
                  <c:v>0.677125453664238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4971432"/>
        <c:axId val="1794413864"/>
      </c:scatterChart>
      <c:valAx>
        <c:axId val="2144971432"/>
        <c:scaling>
          <c:orientation val="minMax"/>
          <c:max val="1.1"/>
          <c:min val="0.9"/>
        </c:scaling>
        <c:delete val="0"/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Voltage</a:t>
                </a:r>
                <a:r>
                  <a:rPr lang="en-US" sz="1600" baseline="0"/>
                  <a:t> Scale</a:t>
                </a:r>
                <a:endParaRPr lang="en-US" sz="1600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794413864"/>
        <c:crosses val="autoZero"/>
        <c:crossBetween val="midCat"/>
      </c:valAx>
      <c:valAx>
        <c:axId val="17944138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Error</a:t>
                </a:r>
                <a:r>
                  <a:rPr lang="en-US" sz="1600" baseline="0"/>
                  <a:t> (LSB)</a:t>
                </a:r>
                <a:endParaRPr lang="en-US" sz="1600"/>
              </a:p>
            </c:rich>
          </c:tx>
          <c:layout/>
          <c:overlay val="0"/>
        </c:title>
        <c:numFmt formatCode="0.0000" sourceLinked="1"/>
        <c:majorTickMark val="none"/>
        <c:minorTickMark val="none"/>
        <c:tickLblPos val="nextTo"/>
        <c:crossAx val="21449714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en-US" sz="2400"/>
              <a:t>Input</a:t>
            </a:r>
            <a:r>
              <a:rPr lang="en-US" sz="2400" baseline="0"/>
              <a:t> Referred Differential Sigma Error vs Temperature @Voltage scale = 1</a:t>
            </a:r>
            <a:endParaRPr lang="en-US" sz="2400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533762057877813"/>
          <c:y val="0.216861219195849"/>
          <c:w val="0.91521710509659"/>
          <c:h val="0.644237057916399"/>
        </c:manualLayout>
      </c:layout>
      <c:scatterChart>
        <c:scatterStyle val="smoothMarker"/>
        <c:varyColors val="0"/>
        <c:ser>
          <c:idx val="2"/>
          <c:order val="0"/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ln>
                <a:solidFill>
                  <a:srgbClr val="008000"/>
                </a:solidFill>
              </a:ln>
            </c:spPr>
          </c:marker>
          <c:xVal>
            <c:numRef>
              <c:f>(Sheet5!$A$3,Sheet5!$A$8,Sheet5!$A$13,Sheet5!$A$18,Sheet5!$A$23)</c:f>
              <c:numCache>
                <c:formatCode>General</c:formatCode>
                <c:ptCount val="5"/>
                <c:pt idx="0">
                  <c:v>-25.0</c:v>
                </c:pt>
                <c:pt idx="1">
                  <c:v>0.0</c:v>
                </c:pt>
                <c:pt idx="2">
                  <c:v>25.0</c:v>
                </c:pt>
                <c:pt idx="3">
                  <c:v>50.0</c:v>
                </c:pt>
                <c:pt idx="4">
                  <c:v>75.0</c:v>
                </c:pt>
              </c:numCache>
            </c:numRef>
          </c:xVal>
          <c:yVal>
            <c:numRef>
              <c:f>(Sheet5!$F$5,Sheet5!$F$10,Sheet5!$F$15,Sheet5!$F$20,Sheet5!$F$25)</c:f>
              <c:numCache>
                <c:formatCode>0.0000</c:formatCode>
                <c:ptCount val="5"/>
                <c:pt idx="0">
                  <c:v>0.636396103067893</c:v>
                </c:pt>
                <c:pt idx="1">
                  <c:v>0.667084537371389</c:v>
                </c:pt>
                <c:pt idx="2">
                  <c:v>0.635406153574231</c:v>
                </c:pt>
                <c:pt idx="3">
                  <c:v>0.692964645562816</c:v>
                </c:pt>
                <c:pt idx="4">
                  <c:v>0.704278354061801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3743256"/>
        <c:axId val="1793271256"/>
      </c:scatterChart>
      <c:valAx>
        <c:axId val="1793743256"/>
        <c:scaling>
          <c:orientation val="minMax"/>
          <c:max val="75.0"/>
          <c:min val="-25.0"/>
        </c:scaling>
        <c:delete val="0"/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Temperature</a:t>
                </a:r>
              </a:p>
              <a:p>
                <a:pPr>
                  <a:defRPr sz="1600"/>
                </a:pPr>
                <a:endParaRPr lang="en-US" sz="1600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793271256"/>
        <c:crosses val="autoZero"/>
        <c:crossBetween val="midCat"/>
        <c:majorUnit val="25.0"/>
      </c:valAx>
      <c:valAx>
        <c:axId val="17932712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Error</a:t>
                </a:r>
                <a:r>
                  <a:rPr lang="en-US" sz="1600" baseline="0"/>
                  <a:t> (LSB)</a:t>
                </a:r>
                <a:endParaRPr lang="en-US" sz="1600"/>
              </a:p>
            </c:rich>
          </c:tx>
          <c:layout/>
          <c:overlay val="0"/>
        </c:title>
        <c:numFmt formatCode="0.0000" sourceLinked="1"/>
        <c:majorTickMark val="out"/>
        <c:minorTickMark val="none"/>
        <c:tickLblPos val="nextTo"/>
        <c:crossAx val="17937432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en-US" sz="2400"/>
              <a:t>Input</a:t>
            </a:r>
            <a:r>
              <a:rPr lang="en-US" sz="2400" baseline="0"/>
              <a:t> Referred Readout Sigma Noise vs Voltage Scale @ Room Temperature</a:t>
            </a:r>
            <a:endParaRPr lang="en-US" sz="2400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Input Referred Readout noise</c:v>
          </c:tx>
          <c:xVal>
            <c:numRef>
              <c:f>Sheet5!$B$13:$B$17</c:f>
              <c:numCache>
                <c:formatCode>General</c:formatCode>
                <c:ptCount val="5"/>
                <c:pt idx="0">
                  <c:v>0.9</c:v>
                </c:pt>
                <c:pt idx="1">
                  <c:v>0.95</c:v>
                </c:pt>
                <c:pt idx="2">
                  <c:v>1.0</c:v>
                </c:pt>
                <c:pt idx="3">
                  <c:v>1.05</c:v>
                </c:pt>
                <c:pt idx="4">
                  <c:v>1.1</c:v>
                </c:pt>
              </c:numCache>
            </c:numRef>
          </c:xVal>
          <c:yVal>
            <c:numRef>
              <c:f>Sheet5!$M$13:$M$17</c:f>
              <c:numCache>
                <c:formatCode>0.0000</c:formatCode>
                <c:ptCount val="5"/>
                <c:pt idx="0">
                  <c:v>0.45240084</c:v>
                </c:pt>
                <c:pt idx="1">
                  <c:v>0.47404926</c:v>
                </c:pt>
                <c:pt idx="2">
                  <c:v>0.45376452</c:v>
                </c:pt>
                <c:pt idx="3">
                  <c:v>0.44455968</c:v>
                </c:pt>
                <c:pt idx="4">
                  <c:v>0.47950398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4595272"/>
        <c:axId val="1794508632"/>
      </c:scatterChart>
      <c:valAx>
        <c:axId val="1794595272"/>
        <c:scaling>
          <c:orientation val="minMax"/>
          <c:max val="1.1"/>
          <c:min val="0.9"/>
        </c:scaling>
        <c:delete val="0"/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Voltage</a:t>
                </a:r>
                <a:r>
                  <a:rPr lang="en-US" sz="1600" baseline="0"/>
                  <a:t> Scale</a:t>
                </a:r>
                <a:endParaRPr lang="en-US" sz="1600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794508632"/>
        <c:crosses val="autoZero"/>
        <c:crossBetween val="midCat"/>
      </c:valAx>
      <c:valAx>
        <c:axId val="17945086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Error</a:t>
                </a:r>
                <a:r>
                  <a:rPr lang="en-US" sz="1600" baseline="0"/>
                  <a:t> (LSB)</a:t>
                </a:r>
                <a:endParaRPr lang="en-US" sz="1600"/>
              </a:p>
            </c:rich>
          </c:tx>
          <c:layout/>
          <c:overlay val="0"/>
        </c:title>
        <c:numFmt formatCode="0.0000" sourceLinked="1"/>
        <c:majorTickMark val="none"/>
        <c:minorTickMark val="none"/>
        <c:tickLblPos val="nextTo"/>
        <c:crossAx val="17945952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en-US" sz="2400"/>
              <a:t>Input</a:t>
            </a:r>
            <a:r>
              <a:rPr lang="en-US" sz="2400" baseline="0"/>
              <a:t> Referred Readout Sigma Noise vs Temperature @Voltage scale = 1</a:t>
            </a:r>
            <a:endParaRPr lang="en-US" sz="2400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533762057877813"/>
          <c:y val="0.216861219195849"/>
          <c:w val="0.91521710509659"/>
          <c:h val="0.644237057916399"/>
        </c:manualLayout>
      </c:layout>
      <c:scatterChart>
        <c:scatterStyle val="smoothMarker"/>
        <c:varyColors val="0"/>
        <c:ser>
          <c:idx val="2"/>
          <c:order val="0"/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ln>
                <a:solidFill>
                  <a:srgbClr val="008000"/>
                </a:solidFill>
              </a:ln>
            </c:spPr>
          </c:marker>
          <c:xVal>
            <c:numRef>
              <c:f>(Sheet5!$A$3,Sheet5!$A$8,Sheet5!$A$13,Sheet5!$A$18,Sheet5!$A$23)</c:f>
              <c:numCache>
                <c:formatCode>General</c:formatCode>
                <c:ptCount val="5"/>
                <c:pt idx="0">
                  <c:v>-25.0</c:v>
                </c:pt>
                <c:pt idx="1">
                  <c:v>0.0</c:v>
                </c:pt>
                <c:pt idx="2">
                  <c:v>25.0</c:v>
                </c:pt>
                <c:pt idx="3">
                  <c:v>50.0</c:v>
                </c:pt>
                <c:pt idx="4">
                  <c:v>75.0</c:v>
                </c:pt>
              </c:numCache>
            </c:numRef>
          </c:xVal>
          <c:yVal>
            <c:numRef>
              <c:f>(Sheet5!$M$5,Sheet5!$M$10,Sheet5!$M$15,Sheet5!$M$20,Sheet5!$M$25)</c:f>
              <c:numCache>
                <c:formatCode>0.0000</c:formatCode>
                <c:ptCount val="5"/>
                <c:pt idx="0">
                  <c:v>0.42461586</c:v>
                </c:pt>
                <c:pt idx="1">
                  <c:v>0.46723086</c:v>
                </c:pt>
                <c:pt idx="2">
                  <c:v>0.45376452</c:v>
                </c:pt>
                <c:pt idx="3">
                  <c:v>0.47490156</c:v>
                </c:pt>
                <c:pt idx="4">
                  <c:v>0.49382262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3917752"/>
        <c:axId val="1804956472"/>
      </c:scatterChart>
      <c:valAx>
        <c:axId val="1793917752"/>
        <c:scaling>
          <c:orientation val="minMax"/>
          <c:max val="75.0"/>
          <c:min val="-25.0"/>
        </c:scaling>
        <c:delete val="0"/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Temperature</a:t>
                </a:r>
              </a:p>
              <a:p>
                <a:pPr>
                  <a:defRPr sz="1600"/>
                </a:pPr>
                <a:endParaRPr lang="en-US" sz="1600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804956472"/>
        <c:crosses val="autoZero"/>
        <c:crossBetween val="midCat"/>
        <c:majorUnit val="25.0"/>
      </c:valAx>
      <c:valAx>
        <c:axId val="18049564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Error</a:t>
                </a:r>
                <a:r>
                  <a:rPr lang="en-US" sz="1600" baseline="0"/>
                  <a:t> (LSB)</a:t>
                </a:r>
                <a:endParaRPr lang="en-US" sz="1600"/>
              </a:p>
            </c:rich>
          </c:tx>
          <c:layout/>
          <c:overlay val="0"/>
        </c:title>
        <c:numFmt formatCode="0.0000" sourceLinked="1"/>
        <c:majorTickMark val="out"/>
        <c:minorTickMark val="none"/>
        <c:tickLblPos val="nextTo"/>
        <c:crossAx val="17939177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en-US" sz="2400"/>
              <a:t>Partial Settling Gain Variation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-25C</c:v>
          </c:tx>
          <c:spPr>
            <a:ln>
              <a:solidFill>
                <a:schemeClr val="accent1">
                  <a:lumMod val="75000"/>
                </a:schemeClr>
              </a:solidFill>
            </a:ln>
          </c:spPr>
          <c:marker>
            <c:spPr>
              <a:ln>
                <a:solidFill>
                  <a:schemeClr val="accent1">
                    <a:lumMod val="75000"/>
                  </a:schemeClr>
                </a:solidFill>
              </a:ln>
            </c:spPr>
          </c:marker>
          <c:xVal>
            <c:numRef>
              <c:f>Sheet5!$B$3:$B$7</c:f>
              <c:numCache>
                <c:formatCode>General</c:formatCode>
                <c:ptCount val="5"/>
                <c:pt idx="0">
                  <c:v>0.9</c:v>
                </c:pt>
                <c:pt idx="1">
                  <c:v>0.95</c:v>
                </c:pt>
                <c:pt idx="2">
                  <c:v>1.0</c:v>
                </c:pt>
                <c:pt idx="3">
                  <c:v>1.05</c:v>
                </c:pt>
                <c:pt idx="4">
                  <c:v>1.1</c:v>
                </c:pt>
              </c:numCache>
            </c:numRef>
          </c:xVal>
          <c:yVal>
            <c:numRef>
              <c:f>Sheet5!$I$3:$I$7</c:f>
              <c:numCache>
                <c:formatCode>0.0000</c:formatCode>
                <c:ptCount val="5"/>
                <c:pt idx="1">
                  <c:v>0.587751263665217</c:v>
                </c:pt>
                <c:pt idx="2">
                  <c:v>0.613685179502915</c:v>
                </c:pt>
              </c:numCache>
            </c:numRef>
          </c:yVal>
          <c:smooth val="1"/>
        </c:ser>
        <c:ser>
          <c:idx val="1"/>
          <c:order val="1"/>
          <c:tx>
            <c:v>0C</c:v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pPr>
              <a:solidFill>
                <a:schemeClr val="accent1">
                  <a:lumMod val="60000"/>
                  <a:lumOff val="40000"/>
                </a:schemeClr>
              </a:solidFill>
              <a:ln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xVal>
            <c:numRef>
              <c:f>Sheet5!$B$8:$B$12</c:f>
              <c:numCache>
                <c:formatCode>General</c:formatCode>
                <c:ptCount val="5"/>
                <c:pt idx="0">
                  <c:v>0.9</c:v>
                </c:pt>
                <c:pt idx="1">
                  <c:v>0.95</c:v>
                </c:pt>
                <c:pt idx="2">
                  <c:v>1.0</c:v>
                </c:pt>
                <c:pt idx="3">
                  <c:v>1.05</c:v>
                </c:pt>
                <c:pt idx="4">
                  <c:v>1.1</c:v>
                </c:pt>
              </c:numCache>
            </c:numRef>
          </c:xVal>
          <c:yVal>
            <c:numRef>
              <c:f>Sheet5!$I$8:$I$12</c:f>
              <c:numCache>
                <c:formatCode>0.0000</c:formatCode>
                <c:ptCount val="5"/>
                <c:pt idx="1">
                  <c:v>0.587061171774099</c:v>
                </c:pt>
                <c:pt idx="2">
                  <c:v>0.605180343742435</c:v>
                </c:pt>
                <c:pt idx="3">
                  <c:v>0.628298567479266</c:v>
                </c:pt>
                <c:pt idx="4">
                  <c:v>0.645994832041344</c:v>
                </c:pt>
              </c:numCache>
            </c:numRef>
          </c:yVal>
          <c:smooth val="1"/>
        </c:ser>
        <c:ser>
          <c:idx val="2"/>
          <c:order val="2"/>
          <c:tx>
            <c:v>25C</c:v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rgbClr val="008000"/>
              </a:solidFill>
              <a:ln>
                <a:solidFill>
                  <a:srgbClr val="008000"/>
                </a:solidFill>
              </a:ln>
            </c:spPr>
          </c:marker>
          <c:xVal>
            <c:numRef>
              <c:f>Sheet5!$B$13:$B$17</c:f>
              <c:numCache>
                <c:formatCode>General</c:formatCode>
                <c:ptCount val="5"/>
                <c:pt idx="0">
                  <c:v>0.9</c:v>
                </c:pt>
                <c:pt idx="1">
                  <c:v>0.95</c:v>
                </c:pt>
                <c:pt idx="2">
                  <c:v>1.0</c:v>
                </c:pt>
                <c:pt idx="3">
                  <c:v>1.05</c:v>
                </c:pt>
                <c:pt idx="4">
                  <c:v>1.1</c:v>
                </c:pt>
              </c:numCache>
            </c:numRef>
          </c:xVal>
          <c:yVal>
            <c:numRef>
              <c:f>Sheet5!$I$13:$I$17</c:f>
              <c:numCache>
                <c:formatCode>0.0000</c:formatCode>
                <c:ptCount val="5"/>
                <c:pt idx="0">
                  <c:v>0.515942627179858</c:v>
                </c:pt>
                <c:pt idx="1">
                  <c:v>0.556483027267668</c:v>
                </c:pt>
                <c:pt idx="2">
                  <c:v>0.586647893934061</c:v>
                </c:pt>
                <c:pt idx="3">
                  <c:v>0.608939227865059</c:v>
                </c:pt>
                <c:pt idx="4">
                  <c:v>0.62648790878336</c:v>
                </c:pt>
              </c:numCache>
            </c:numRef>
          </c:yVal>
          <c:smooth val="1"/>
        </c:ser>
        <c:ser>
          <c:idx val="3"/>
          <c:order val="3"/>
          <c:tx>
            <c:v>50C</c:v>
          </c:tx>
          <c:spPr>
            <a:ln>
              <a:solidFill>
                <a:schemeClr val="accent2"/>
              </a:solidFill>
            </a:ln>
          </c:spPr>
          <c:marker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Sheet5!$B$18:$B$22</c:f>
              <c:numCache>
                <c:formatCode>General</c:formatCode>
                <c:ptCount val="5"/>
                <c:pt idx="0">
                  <c:v>0.9</c:v>
                </c:pt>
                <c:pt idx="1">
                  <c:v>0.95</c:v>
                </c:pt>
                <c:pt idx="2">
                  <c:v>1.0</c:v>
                </c:pt>
                <c:pt idx="3">
                  <c:v>1.05</c:v>
                </c:pt>
                <c:pt idx="4">
                  <c:v>1.1</c:v>
                </c:pt>
              </c:numCache>
            </c:numRef>
          </c:xVal>
          <c:yVal>
            <c:numRef>
              <c:f>Sheet5!$I$18:$I$22</c:f>
              <c:numCache>
                <c:formatCode>0.0000</c:formatCode>
                <c:ptCount val="5"/>
                <c:pt idx="0">
                  <c:v>0.542269941977116</c:v>
                </c:pt>
                <c:pt idx="1">
                  <c:v>0.543124049532913</c:v>
                </c:pt>
                <c:pt idx="2">
                  <c:v>0.543242068665797</c:v>
                </c:pt>
                <c:pt idx="3">
                  <c:v>0.543478260869565</c:v>
                </c:pt>
                <c:pt idx="4">
                  <c:v>0.544276928101018</c:v>
                </c:pt>
              </c:numCache>
            </c:numRef>
          </c:yVal>
          <c:smooth val="1"/>
        </c:ser>
        <c:ser>
          <c:idx val="4"/>
          <c:order val="4"/>
          <c:tx>
            <c:v>75C</c:v>
          </c:tx>
          <c:spPr>
            <a:ln>
              <a:solidFill>
                <a:srgbClr val="FF0000"/>
              </a:solidFill>
            </a:ln>
          </c:spPr>
          <c:marker>
            <c:spPr>
              <a:ln>
                <a:solidFill>
                  <a:srgbClr val="FF0000"/>
                </a:solidFill>
              </a:ln>
            </c:spPr>
          </c:marker>
          <c:xVal>
            <c:numRef>
              <c:f>Sheet5!$B$23:$B$27</c:f>
              <c:numCache>
                <c:formatCode>General</c:formatCode>
                <c:ptCount val="5"/>
                <c:pt idx="0">
                  <c:v>0.9</c:v>
                </c:pt>
                <c:pt idx="1">
                  <c:v>0.95</c:v>
                </c:pt>
                <c:pt idx="2">
                  <c:v>1.0</c:v>
                </c:pt>
                <c:pt idx="3">
                  <c:v>1.05</c:v>
                </c:pt>
                <c:pt idx="4">
                  <c:v>1.1</c:v>
                </c:pt>
              </c:numCache>
            </c:numRef>
          </c:xVal>
          <c:yVal>
            <c:numRef>
              <c:f>Sheet5!$I$23:$I$27</c:f>
              <c:numCache>
                <c:formatCode>0.0000</c:formatCode>
                <c:ptCount val="5"/>
                <c:pt idx="0">
                  <c:v>0.490196078431372</c:v>
                </c:pt>
                <c:pt idx="1">
                  <c:v>0.527593120185713</c:v>
                </c:pt>
                <c:pt idx="2">
                  <c:v>0.550176056338028</c:v>
                </c:pt>
                <c:pt idx="3">
                  <c:v>0.57780088981337</c:v>
                </c:pt>
                <c:pt idx="4">
                  <c:v>0.594883997620464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6365256"/>
        <c:axId val="1810219304"/>
      </c:scatterChart>
      <c:valAx>
        <c:axId val="1806365256"/>
        <c:scaling>
          <c:orientation val="minMax"/>
          <c:max val="1.1"/>
          <c:min val="0.9"/>
        </c:scaling>
        <c:delete val="0"/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Voltage</a:t>
                </a:r>
                <a:r>
                  <a:rPr lang="en-US" sz="1600" baseline="0"/>
                  <a:t> Scale</a:t>
                </a:r>
                <a:endParaRPr lang="en-US" sz="1600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810219304"/>
        <c:crosses val="autoZero"/>
        <c:crossBetween val="midCat"/>
      </c:valAx>
      <c:valAx>
        <c:axId val="1810219304"/>
        <c:scaling>
          <c:orientation val="minMax"/>
          <c:min val="0.45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Gain</a:t>
                </a:r>
              </a:p>
            </c:rich>
          </c:tx>
          <c:layout/>
          <c:overlay val="0"/>
        </c:title>
        <c:numFmt formatCode="0.0000" sourceLinked="1"/>
        <c:majorTickMark val="none"/>
        <c:minorTickMark val="none"/>
        <c:tickLblPos val="nextTo"/>
        <c:crossAx val="1806365256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en-US" sz="2400"/>
              <a:t>Input</a:t>
            </a:r>
            <a:r>
              <a:rPr lang="en-US" sz="2400" baseline="0"/>
              <a:t> Referred Differential Sigma Error vs Voltage Scale @ Room Temperature</a:t>
            </a:r>
            <a:endParaRPr lang="en-US" sz="2400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v>chip1</c:v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ln>
                <a:solidFill>
                  <a:srgbClr val="008000"/>
                </a:solidFill>
              </a:ln>
            </c:spPr>
          </c:marker>
          <c:xVal>
            <c:numRef>
              <c:f>Sheet5!$B$13:$B$17</c:f>
              <c:numCache>
                <c:formatCode>General</c:formatCode>
                <c:ptCount val="5"/>
                <c:pt idx="0">
                  <c:v>0.9</c:v>
                </c:pt>
                <c:pt idx="1">
                  <c:v>0.95</c:v>
                </c:pt>
                <c:pt idx="2">
                  <c:v>1.0</c:v>
                </c:pt>
                <c:pt idx="3">
                  <c:v>1.05</c:v>
                </c:pt>
                <c:pt idx="4">
                  <c:v>1.1</c:v>
                </c:pt>
              </c:numCache>
            </c:numRef>
          </c:xVal>
          <c:yVal>
            <c:numRef>
              <c:f>Sheet5!$F$13:$F$17</c:f>
              <c:numCache>
                <c:formatCode>0.0000</c:formatCode>
                <c:ptCount val="5"/>
                <c:pt idx="0">
                  <c:v>0.652942401747658</c:v>
                </c:pt>
                <c:pt idx="1">
                  <c:v>0.650255395979149</c:v>
                </c:pt>
                <c:pt idx="2">
                  <c:v>0.635406153574231</c:v>
                </c:pt>
                <c:pt idx="3">
                  <c:v>0.660579154984473</c:v>
                </c:pt>
                <c:pt idx="4">
                  <c:v>0.677125453664238</c:v>
                </c:pt>
              </c:numCache>
            </c:numRef>
          </c:yVal>
          <c:smooth val="1"/>
        </c:ser>
        <c:ser>
          <c:idx val="0"/>
          <c:order val="1"/>
          <c:tx>
            <c:v>chip2</c:v>
          </c:tx>
          <c:xVal>
            <c:numRef>
              <c:f>Sheet5!$B$31:$B$35</c:f>
              <c:numCache>
                <c:formatCode>General</c:formatCode>
                <c:ptCount val="5"/>
                <c:pt idx="0">
                  <c:v>0.9</c:v>
                </c:pt>
                <c:pt idx="1">
                  <c:v>0.95</c:v>
                </c:pt>
                <c:pt idx="2">
                  <c:v>1.0</c:v>
                </c:pt>
                <c:pt idx="3">
                  <c:v>1.05</c:v>
                </c:pt>
                <c:pt idx="4">
                  <c:v>1.1</c:v>
                </c:pt>
              </c:numCache>
            </c:numRef>
          </c:xVal>
          <c:yVal>
            <c:numRef>
              <c:f>Sheet5!$F$31:$F$35</c:f>
              <c:numCache>
                <c:formatCode>0.0000</c:formatCode>
                <c:ptCount val="5"/>
                <c:pt idx="0">
                  <c:v>0.667</c:v>
                </c:pt>
                <c:pt idx="1">
                  <c:v>0.6598</c:v>
                </c:pt>
                <c:pt idx="2">
                  <c:v>0.6687</c:v>
                </c:pt>
                <c:pt idx="3">
                  <c:v>0.6595</c:v>
                </c:pt>
                <c:pt idx="4">
                  <c:v>0.6446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5956776"/>
        <c:axId val="2095984184"/>
      </c:scatterChart>
      <c:valAx>
        <c:axId val="2095956776"/>
        <c:scaling>
          <c:orientation val="minMax"/>
          <c:max val="1.1"/>
          <c:min val="0.9"/>
        </c:scaling>
        <c:delete val="0"/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Voltage</a:t>
                </a:r>
                <a:r>
                  <a:rPr lang="en-US" sz="1600" baseline="0"/>
                  <a:t> Scale</a:t>
                </a:r>
                <a:endParaRPr lang="en-US" sz="1600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95984184"/>
        <c:crosses val="autoZero"/>
        <c:crossBetween val="midCat"/>
      </c:valAx>
      <c:valAx>
        <c:axId val="20959841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Error</a:t>
                </a:r>
                <a:r>
                  <a:rPr lang="en-US" sz="1600" baseline="0"/>
                  <a:t> (LSB)</a:t>
                </a:r>
                <a:endParaRPr lang="en-US" sz="1600"/>
              </a:p>
            </c:rich>
          </c:tx>
          <c:layout/>
          <c:overlay val="0"/>
        </c:title>
        <c:numFmt formatCode="0.0000" sourceLinked="1"/>
        <c:majorTickMark val="none"/>
        <c:minorTickMark val="none"/>
        <c:tickLblPos val="nextTo"/>
        <c:crossAx val="20959567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en-US" sz="2400"/>
              <a:t>Partial Settling Gain Variation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v>chip1</c:v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ln>
                <a:solidFill>
                  <a:srgbClr val="008000"/>
                </a:solidFill>
              </a:ln>
            </c:spPr>
          </c:marker>
          <c:xVal>
            <c:numRef>
              <c:f>Sheet5!$B$13:$B$17</c:f>
              <c:numCache>
                <c:formatCode>General</c:formatCode>
                <c:ptCount val="5"/>
                <c:pt idx="0">
                  <c:v>0.9</c:v>
                </c:pt>
                <c:pt idx="1">
                  <c:v>0.95</c:v>
                </c:pt>
                <c:pt idx="2">
                  <c:v>1.0</c:v>
                </c:pt>
                <c:pt idx="3">
                  <c:v>1.05</c:v>
                </c:pt>
                <c:pt idx="4">
                  <c:v>1.1</c:v>
                </c:pt>
              </c:numCache>
            </c:numRef>
          </c:xVal>
          <c:yVal>
            <c:numRef>
              <c:f>Sheet5!$I$13:$I$17</c:f>
              <c:numCache>
                <c:formatCode>0.0000</c:formatCode>
                <c:ptCount val="5"/>
                <c:pt idx="0">
                  <c:v>0.515942627179858</c:v>
                </c:pt>
                <c:pt idx="1">
                  <c:v>0.556483027267668</c:v>
                </c:pt>
                <c:pt idx="2">
                  <c:v>0.586647893934061</c:v>
                </c:pt>
                <c:pt idx="3">
                  <c:v>0.608939227865059</c:v>
                </c:pt>
                <c:pt idx="4">
                  <c:v>0.62648790878336</c:v>
                </c:pt>
              </c:numCache>
            </c:numRef>
          </c:yVal>
          <c:smooth val="1"/>
        </c:ser>
        <c:ser>
          <c:idx val="0"/>
          <c:order val="1"/>
          <c:tx>
            <c:v>chip2</c:v>
          </c:tx>
          <c:xVal>
            <c:numRef>
              <c:f>Sheet5!$B$31:$B$35</c:f>
              <c:numCache>
                <c:formatCode>General</c:formatCode>
                <c:ptCount val="5"/>
                <c:pt idx="0">
                  <c:v>0.9</c:v>
                </c:pt>
                <c:pt idx="1">
                  <c:v>0.95</c:v>
                </c:pt>
                <c:pt idx="2">
                  <c:v>1.0</c:v>
                </c:pt>
                <c:pt idx="3">
                  <c:v>1.05</c:v>
                </c:pt>
                <c:pt idx="4">
                  <c:v>1.1</c:v>
                </c:pt>
              </c:numCache>
            </c:numRef>
          </c:xVal>
          <c:yVal>
            <c:numRef>
              <c:f>Sheet5!$I$31:$I$35</c:f>
              <c:numCache>
                <c:formatCode>0.0000</c:formatCode>
                <c:ptCount val="5"/>
                <c:pt idx="0">
                  <c:v>0.53134962805526</c:v>
                </c:pt>
                <c:pt idx="1">
                  <c:v>0.568828213879408</c:v>
                </c:pt>
                <c:pt idx="2">
                  <c:v>0.596658711217184</c:v>
                </c:pt>
                <c:pt idx="3">
                  <c:v>0.616979269496545</c:v>
                </c:pt>
                <c:pt idx="4">
                  <c:v>0.630994447248864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0538344"/>
        <c:axId val="1790479064"/>
      </c:scatterChart>
      <c:valAx>
        <c:axId val="1790538344"/>
        <c:scaling>
          <c:orientation val="minMax"/>
          <c:max val="1.1"/>
          <c:min val="0.9"/>
        </c:scaling>
        <c:delete val="0"/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Voltage</a:t>
                </a:r>
                <a:r>
                  <a:rPr lang="en-US" sz="1600" baseline="0"/>
                  <a:t> Scale</a:t>
                </a:r>
                <a:endParaRPr lang="en-US" sz="1600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790479064"/>
        <c:crosses val="autoZero"/>
        <c:crossBetween val="midCat"/>
      </c:valAx>
      <c:valAx>
        <c:axId val="1790479064"/>
        <c:scaling>
          <c:orientation val="minMax"/>
          <c:min val="0.5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Gain</a:t>
                </a:r>
              </a:p>
            </c:rich>
          </c:tx>
          <c:layout/>
          <c:overlay val="0"/>
        </c:title>
        <c:numFmt formatCode="0.0000" sourceLinked="1"/>
        <c:majorTickMark val="none"/>
        <c:minorTickMark val="none"/>
        <c:tickLblPos val="nextTo"/>
        <c:crossAx val="17905383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800"/>
            </a:pPr>
            <a:r>
              <a:rPr lang="en-US" sz="2800"/>
              <a:t>Input Referred Readnoise</a:t>
            </a:r>
            <a:r>
              <a:rPr lang="en-US" sz="2800" baseline="0"/>
              <a:t> Across Chips @ Room Temperature</a:t>
            </a:r>
            <a:endParaRPr lang="en-US" sz="2800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chip1</c:v>
          </c:tx>
          <c:spPr>
            <a:ln>
              <a:solidFill>
                <a:schemeClr val="accent2"/>
              </a:solidFill>
            </a:ln>
          </c:spPr>
          <c:marker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Sheet5!$B$31:$B$35</c:f>
              <c:numCache>
                <c:formatCode>General</c:formatCode>
                <c:ptCount val="5"/>
                <c:pt idx="0">
                  <c:v>0.9</c:v>
                </c:pt>
                <c:pt idx="1">
                  <c:v>0.95</c:v>
                </c:pt>
                <c:pt idx="2">
                  <c:v>1.0</c:v>
                </c:pt>
                <c:pt idx="3">
                  <c:v>1.05</c:v>
                </c:pt>
                <c:pt idx="4">
                  <c:v>1.1</c:v>
                </c:pt>
              </c:numCache>
            </c:numRef>
          </c:xVal>
          <c:yVal>
            <c:numRef>
              <c:f>Sheet5!$M$13:$M$17</c:f>
              <c:numCache>
                <c:formatCode>0.0000</c:formatCode>
                <c:ptCount val="5"/>
                <c:pt idx="0">
                  <c:v>0.45240084</c:v>
                </c:pt>
                <c:pt idx="1">
                  <c:v>0.47404926</c:v>
                </c:pt>
                <c:pt idx="2">
                  <c:v>0.45376452</c:v>
                </c:pt>
                <c:pt idx="3">
                  <c:v>0.44455968</c:v>
                </c:pt>
                <c:pt idx="4">
                  <c:v>0.47950398</c:v>
                </c:pt>
              </c:numCache>
            </c:numRef>
          </c:yVal>
          <c:smooth val="1"/>
        </c:ser>
        <c:ser>
          <c:idx val="1"/>
          <c:order val="1"/>
          <c:tx>
            <c:v>chip2</c:v>
          </c:tx>
          <c:spPr>
            <a:ln>
              <a:solidFill>
                <a:schemeClr val="accent5"/>
              </a:solidFill>
            </a:ln>
          </c:spPr>
          <c:marker>
            <c:spPr>
              <a:solidFill>
                <a:schemeClr val="accent1">
                  <a:lumMod val="75000"/>
                </a:schemeClr>
              </a:solidFill>
              <a:ln>
                <a:solidFill>
                  <a:schemeClr val="accent5"/>
                </a:solidFill>
              </a:ln>
            </c:spPr>
          </c:marker>
          <c:xVal>
            <c:numRef>
              <c:f>Sheet5!$B$13:$B$17</c:f>
              <c:numCache>
                <c:formatCode>General</c:formatCode>
                <c:ptCount val="5"/>
                <c:pt idx="0">
                  <c:v>0.9</c:v>
                </c:pt>
                <c:pt idx="1">
                  <c:v>0.95</c:v>
                </c:pt>
                <c:pt idx="2">
                  <c:v>1.0</c:v>
                </c:pt>
                <c:pt idx="3">
                  <c:v>1.05</c:v>
                </c:pt>
                <c:pt idx="4">
                  <c:v>1.1</c:v>
                </c:pt>
              </c:numCache>
            </c:numRef>
          </c:xVal>
          <c:yVal>
            <c:numRef>
              <c:f>Sheet5!$M$31:$M$35</c:f>
              <c:numCache>
                <c:formatCode>0.0000</c:formatCode>
                <c:ptCount val="5"/>
                <c:pt idx="0">
                  <c:v>0.4284</c:v>
                </c:pt>
                <c:pt idx="1">
                  <c:v>0.4207</c:v>
                </c:pt>
                <c:pt idx="2">
                  <c:v>0.4406</c:v>
                </c:pt>
                <c:pt idx="3">
                  <c:v>0.4307</c:v>
                </c:pt>
                <c:pt idx="4">
                  <c:v>0.4486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0448104"/>
        <c:axId val="1792209544"/>
      </c:scatterChart>
      <c:valAx>
        <c:axId val="1810448104"/>
        <c:scaling>
          <c:orientation val="minMax"/>
          <c:max val="1.1"/>
          <c:min val="0.9"/>
        </c:scaling>
        <c:delete val="0"/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en-US" sz="2000"/>
                  <a:t>Voltage</a:t>
                </a:r>
                <a:r>
                  <a:rPr lang="en-US" sz="2000" baseline="0"/>
                  <a:t> Scale</a:t>
                </a:r>
                <a:endParaRPr lang="en-US" sz="2000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792209544"/>
        <c:crosses val="autoZero"/>
        <c:crossBetween val="midCat"/>
      </c:valAx>
      <c:valAx>
        <c:axId val="17922095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Noise (LSB)</a:t>
                </a:r>
              </a:p>
            </c:rich>
          </c:tx>
          <c:layout/>
          <c:overlay val="0"/>
        </c:title>
        <c:numFmt formatCode="0.0000" sourceLinked="1"/>
        <c:majorTickMark val="none"/>
        <c:minorTickMark val="none"/>
        <c:tickLblPos val="nextTo"/>
        <c:crossAx val="1810448104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Partial Settling vs Time with</a:t>
            </a:r>
            <a:r>
              <a:rPr lang="en-US" baseline="0"/>
              <a:t> different Bitline Load</a:t>
            </a:r>
            <a:endParaRPr lang="en-US"/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Sheet1!$B$36</c:f>
              <c:strCache>
                <c:ptCount val="1"/>
                <c:pt idx="0">
                  <c:v>0pF</c:v>
                </c:pt>
              </c:strCache>
            </c:strRef>
          </c:tx>
          <c:xVal>
            <c:numRef>
              <c:f>Sheet1!$A$37:$A$42</c:f>
              <c:numCache>
                <c:formatCode>General</c:formatCode>
                <c:ptCount val="6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  <c:pt idx="3">
                  <c:v>75.0</c:v>
                </c:pt>
                <c:pt idx="4">
                  <c:v>100.0</c:v>
                </c:pt>
                <c:pt idx="5">
                  <c:v>125.0</c:v>
                </c:pt>
              </c:numCache>
            </c:numRef>
          </c:xVal>
          <c:yVal>
            <c:numRef>
              <c:f>Sheet1!$B$37:$B$42</c:f>
              <c:numCache>
                <c:formatCode>General</c:formatCode>
                <c:ptCount val="6"/>
                <c:pt idx="0">
                  <c:v>0.448028673835125</c:v>
                </c:pt>
                <c:pt idx="1">
                  <c:v>0.5587</c:v>
                </c:pt>
                <c:pt idx="2">
                  <c:v>0.654450261780105</c:v>
                </c:pt>
                <c:pt idx="3">
                  <c:v>0.7097232079489</c:v>
                </c:pt>
                <c:pt idx="4">
                  <c:v>0.762195121951219</c:v>
                </c:pt>
                <c:pt idx="5">
                  <c:v>0.797448165869218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Sheet1!$C$36</c:f>
              <c:strCache>
                <c:ptCount val="1"/>
                <c:pt idx="0">
                  <c:v>1pF</c:v>
                </c:pt>
              </c:strCache>
            </c:strRef>
          </c:tx>
          <c:xVal>
            <c:numRef>
              <c:f>Sheet1!$A$37:$A$42</c:f>
              <c:numCache>
                <c:formatCode>General</c:formatCode>
                <c:ptCount val="6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  <c:pt idx="3">
                  <c:v>75.0</c:v>
                </c:pt>
                <c:pt idx="4">
                  <c:v>100.0</c:v>
                </c:pt>
                <c:pt idx="5">
                  <c:v>125.0</c:v>
                </c:pt>
              </c:numCache>
            </c:numRef>
          </c:xVal>
          <c:yVal>
            <c:numRef>
              <c:f>Sheet1!$C$37:$C$42</c:f>
              <c:numCache>
                <c:formatCode>General</c:formatCode>
                <c:ptCount val="6"/>
                <c:pt idx="0">
                  <c:v>0.479616306954436</c:v>
                </c:pt>
                <c:pt idx="1">
                  <c:v>0.558659217877095</c:v>
                </c:pt>
                <c:pt idx="2">
                  <c:v>0.636942675159236</c:v>
                </c:pt>
                <c:pt idx="3">
                  <c:v>0.69589422407794</c:v>
                </c:pt>
                <c:pt idx="4">
                  <c:v>0.740740740740741</c:v>
                </c:pt>
                <c:pt idx="5">
                  <c:v>0.773993808049535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Sheet1!$D$36</c:f>
              <c:strCache>
                <c:ptCount val="1"/>
                <c:pt idx="0">
                  <c:v>2pF</c:v>
                </c:pt>
              </c:strCache>
            </c:strRef>
          </c:tx>
          <c:xVal>
            <c:numRef>
              <c:f>Sheet1!$A$37:$A$42</c:f>
              <c:numCache>
                <c:formatCode>General</c:formatCode>
                <c:ptCount val="6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  <c:pt idx="3">
                  <c:v>75.0</c:v>
                </c:pt>
                <c:pt idx="4">
                  <c:v>100.0</c:v>
                </c:pt>
                <c:pt idx="5">
                  <c:v>125.0</c:v>
                </c:pt>
              </c:numCache>
            </c:numRef>
          </c:xVal>
          <c:yVal>
            <c:numRef>
              <c:f>Sheet1!$D$37:$D$42</c:f>
              <c:numCache>
                <c:formatCode>General</c:formatCode>
                <c:ptCount val="6"/>
                <c:pt idx="0">
                  <c:v>0.533902829684997</c:v>
                </c:pt>
                <c:pt idx="1">
                  <c:v>0.593119810201661</c:v>
                </c:pt>
                <c:pt idx="2">
                  <c:v>0.64143681847338</c:v>
                </c:pt>
                <c:pt idx="3">
                  <c:v>0.696864111498258</c:v>
                </c:pt>
                <c:pt idx="4">
                  <c:v>0.731528895391368</c:v>
                </c:pt>
                <c:pt idx="5">
                  <c:v>0.760456273764259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Sheet1!$E$36</c:f>
              <c:strCache>
                <c:ptCount val="1"/>
                <c:pt idx="0">
                  <c:v>4pF</c:v>
                </c:pt>
              </c:strCache>
            </c:strRef>
          </c:tx>
          <c:xVal>
            <c:numRef>
              <c:f>Sheet1!$A$37:$A$42</c:f>
              <c:numCache>
                <c:formatCode>General</c:formatCode>
                <c:ptCount val="6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  <c:pt idx="3">
                  <c:v>75.0</c:v>
                </c:pt>
                <c:pt idx="4">
                  <c:v>100.0</c:v>
                </c:pt>
                <c:pt idx="5">
                  <c:v>125.0</c:v>
                </c:pt>
              </c:numCache>
            </c:numRef>
          </c:xVal>
          <c:yVal>
            <c:numRef>
              <c:f>Sheet1!$E$37:$E$42</c:f>
              <c:numCache>
                <c:formatCode>General</c:formatCode>
                <c:ptCount val="6"/>
                <c:pt idx="0">
                  <c:v>0.608642726719416</c:v>
                </c:pt>
                <c:pt idx="1">
                  <c:v>0.638162093171666</c:v>
                </c:pt>
                <c:pt idx="2">
                  <c:v>0.669792364367046</c:v>
                </c:pt>
                <c:pt idx="3">
                  <c:v>0.706713780918728</c:v>
                </c:pt>
                <c:pt idx="4">
                  <c:v>0.730994152046783</c:v>
                </c:pt>
                <c:pt idx="5">
                  <c:v>0.75187969924812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4862216"/>
        <c:axId val="2144801752"/>
      </c:scatterChart>
      <c:valAx>
        <c:axId val="2144862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/>
                  <a:t>Settling</a:t>
                </a:r>
                <a:r>
                  <a:rPr lang="en-US" sz="1800" baseline="0"/>
                  <a:t> Time (ns)</a:t>
                </a:r>
                <a:endParaRPr lang="en-US" sz="18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44801752"/>
        <c:crosses val="autoZero"/>
        <c:crossBetween val="midCat"/>
      </c:valAx>
      <c:valAx>
        <c:axId val="2144801752"/>
        <c:scaling>
          <c:orientation val="minMax"/>
          <c:min val="0.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/>
                  <a:t>Gain</a:t>
                </a:r>
                <a:r>
                  <a:rPr lang="en-US" sz="1800" baseline="0"/>
                  <a:t> (% settled)</a:t>
                </a:r>
                <a:endParaRPr lang="en-US" sz="18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4486221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50925509311336"/>
          <c:y val="0.0543884909123202"/>
          <c:w val="0.0744713160854893"/>
          <c:h val="0.241598958024984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1st Order</a:t>
            </a:r>
            <a:r>
              <a:rPr lang="en-US" baseline="0"/>
              <a:t> Partial Settling Gain vs Supply Scaling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0pF BL Load</c:v>
          </c:tx>
          <c:xVal>
            <c:numRef>
              <c:f>Sheet2!$A$26:$A$30</c:f>
              <c:numCache>
                <c:formatCode>General</c:formatCode>
                <c:ptCount val="5"/>
                <c:pt idx="0">
                  <c:v>0.9</c:v>
                </c:pt>
                <c:pt idx="1">
                  <c:v>0.95</c:v>
                </c:pt>
                <c:pt idx="2">
                  <c:v>1.0</c:v>
                </c:pt>
                <c:pt idx="3">
                  <c:v>1.05</c:v>
                </c:pt>
                <c:pt idx="4">
                  <c:v>1.1</c:v>
                </c:pt>
              </c:numCache>
            </c:numRef>
          </c:xVal>
          <c:yVal>
            <c:numRef>
              <c:f>Sheet2!$G$26:$G$30</c:f>
              <c:numCache>
                <c:formatCode>0.0000</c:formatCode>
                <c:ptCount val="5"/>
                <c:pt idx="0">
                  <c:v>0.514933058702369</c:v>
                </c:pt>
                <c:pt idx="1">
                  <c:v>0.555864369093941</c:v>
                </c:pt>
                <c:pt idx="2">
                  <c:v>0.586166471277843</c:v>
                </c:pt>
                <c:pt idx="3">
                  <c:v>0.608272506082725</c:v>
                </c:pt>
                <c:pt idx="4">
                  <c:v>0.625782227784731</c:v>
                </c:pt>
              </c:numCache>
            </c:numRef>
          </c:yVal>
          <c:smooth val="1"/>
        </c:ser>
        <c:ser>
          <c:idx val="1"/>
          <c:order val="1"/>
          <c:tx>
            <c:v>1pF BL load</c:v>
          </c:tx>
          <c:xVal>
            <c:numRef>
              <c:f>Sheet2!$A$31:$A$35</c:f>
              <c:numCache>
                <c:formatCode>General</c:formatCode>
                <c:ptCount val="5"/>
                <c:pt idx="0">
                  <c:v>0.9</c:v>
                </c:pt>
                <c:pt idx="1">
                  <c:v>0.95</c:v>
                </c:pt>
                <c:pt idx="2">
                  <c:v>1.0</c:v>
                </c:pt>
                <c:pt idx="3">
                  <c:v>1.05</c:v>
                </c:pt>
                <c:pt idx="4">
                  <c:v>1.1</c:v>
                </c:pt>
              </c:numCache>
            </c:numRef>
          </c:xVal>
          <c:yVal>
            <c:numRef>
              <c:f>Sheet2!$G$31:$G$35</c:f>
              <c:numCache>
                <c:formatCode>0.0000</c:formatCode>
                <c:ptCount val="5"/>
                <c:pt idx="0">
                  <c:v>0.513347022587269</c:v>
                </c:pt>
                <c:pt idx="1">
                  <c:v>0.555247084952804</c:v>
                </c:pt>
                <c:pt idx="2">
                  <c:v>0.585480093676815</c:v>
                </c:pt>
                <c:pt idx="3">
                  <c:v>0.606428138265615</c:v>
                </c:pt>
                <c:pt idx="4">
                  <c:v>0.622277535780958</c:v>
                </c:pt>
              </c:numCache>
            </c:numRef>
          </c:yVal>
          <c:smooth val="1"/>
        </c:ser>
        <c:ser>
          <c:idx val="2"/>
          <c:order val="2"/>
          <c:tx>
            <c:v>2pF BL Load</c:v>
          </c:tx>
          <c:xVal>
            <c:numRef>
              <c:f>Sheet2!$A$36:$A$40</c:f>
              <c:numCache>
                <c:formatCode>General</c:formatCode>
                <c:ptCount val="5"/>
                <c:pt idx="0">
                  <c:v>0.9</c:v>
                </c:pt>
                <c:pt idx="1">
                  <c:v>0.95</c:v>
                </c:pt>
                <c:pt idx="2">
                  <c:v>1.0</c:v>
                </c:pt>
                <c:pt idx="3">
                  <c:v>1.05</c:v>
                </c:pt>
                <c:pt idx="4">
                  <c:v>1.1</c:v>
                </c:pt>
              </c:numCache>
            </c:numRef>
          </c:xVal>
          <c:yVal>
            <c:numRef>
              <c:f>Sheet2!$G$36:$G$40</c:f>
              <c:numCache>
                <c:formatCode>0.0000</c:formatCode>
                <c:ptCount val="5"/>
                <c:pt idx="0">
                  <c:v>0.528262017960909</c:v>
                </c:pt>
                <c:pt idx="1">
                  <c:v>0.570776255707763</c:v>
                </c:pt>
                <c:pt idx="2">
                  <c:v>0.600240096038415</c:v>
                </c:pt>
                <c:pt idx="3">
                  <c:v>0.618811881188119</c:v>
                </c:pt>
                <c:pt idx="4">
                  <c:v>0.632911392405063</c:v>
                </c:pt>
              </c:numCache>
            </c:numRef>
          </c:yVal>
          <c:smooth val="1"/>
        </c:ser>
        <c:ser>
          <c:idx val="3"/>
          <c:order val="3"/>
          <c:tx>
            <c:v>4pF BL Load</c:v>
          </c:tx>
          <c:spPr>
            <a:ln>
              <a:solidFill>
                <a:srgbClr val="008000"/>
              </a:solidFill>
            </a:ln>
          </c:spPr>
          <c:marker>
            <c:spPr>
              <a:ln>
                <a:solidFill>
                  <a:srgbClr val="008000"/>
                </a:solidFill>
              </a:ln>
            </c:spPr>
          </c:marker>
          <c:xVal>
            <c:numRef>
              <c:f>Sheet2!$A$41:$A$45</c:f>
              <c:numCache>
                <c:formatCode>General</c:formatCode>
                <c:ptCount val="5"/>
                <c:pt idx="0">
                  <c:v>0.9</c:v>
                </c:pt>
                <c:pt idx="1">
                  <c:v>0.95</c:v>
                </c:pt>
                <c:pt idx="2">
                  <c:v>1.0</c:v>
                </c:pt>
                <c:pt idx="3">
                  <c:v>1.05</c:v>
                </c:pt>
                <c:pt idx="4">
                  <c:v>1.1</c:v>
                </c:pt>
              </c:numCache>
            </c:numRef>
          </c:xVal>
          <c:yVal>
            <c:numRef>
              <c:f>Sheet2!$G$41:$G$45</c:f>
              <c:numCache>
                <c:formatCode>0.0000</c:formatCode>
                <c:ptCount val="5"/>
                <c:pt idx="0">
                  <c:v>0.567536889897843</c:v>
                </c:pt>
                <c:pt idx="1">
                  <c:v>0.612369871402327</c:v>
                </c:pt>
                <c:pt idx="2">
                  <c:v>0.640204865556978</c:v>
                </c:pt>
                <c:pt idx="3">
                  <c:v>0.656167979002625</c:v>
                </c:pt>
                <c:pt idx="4">
                  <c:v>0.667556742323097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7020616"/>
        <c:axId val="2143880472"/>
      </c:scatterChart>
      <c:valAx>
        <c:axId val="1777020616"/>
        <c:scaling>
          <c:orientation val="minMax"/>
          <c:max val="1.1"/>
          <c:min val="0.9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Supply</a:t>
                </a:r>
                <a:r>
                  <a:rPr lang="en-US" sz="1200" baseline="0"/>
                  <a:t> Scaling</a:t>
                </a:r>
              </a:p>
              <a:p>
                <a:pPr>
                  <a:defRPr sz="1200"/>
                </a:pPr>
                <a:endParaRPr lang="en-US" sz="1200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43880472"/>
        <c:crosses val="autoZero"/>
        <c:crossBetween val="midCat"/>
      </c:valAx>
      <c:valAx>
        <c:axId val="2143880472"/>
        <c:scaling>
          <c:orientation val="minMax"/>
          <c:min val="0.4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Partial</a:t>
                </a:r>
                <a:r>
                  <a:rPr lang="en-US" sz="1200" baseline="0"/>
                  <a:t> Settling 1st Order Gain</a:t>
                </a:r>
              </a:p>
              <a:p>
                <a:pPr>
                  <a:defRPr sz="1200"/>
                </a:pPr>
                <a:endParaRPr lang="en-US" sz="1200"/>
              </a:p>
            </c:rich>
          </c:tx>
          <c:layout/>
          <c:overlay val="0"/>
        </c:title>
        <c:numFmt formatCode="0.0000" sourceLinked="1"/>
        <c:majorTickMark val="none"/>
        <c:minorTickMark val="none"/>
        <c:tickLblPos val="nextTo"/>
        <c:crossAx val="17770206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Input Referred</a:t>
            </a:r>
            <a:r>
              <a:rPr lang="en-US" baseline="0"/>
              <a:t> Differential Error vs Supply Scaling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0pF BL Load</c:v>
          </c:tx>
          <c:xVal>
            <c:numRef>
              <c:f>Sheet2!$A$26:$A$30</c:f>
              <c:numCache>
                <c:formatCode>General</c:formatCode>
                <c:ptCount val="5"/>
                <c:pt idx="0">
                  <c:v>0.9</c:v>
                </c:pt>
                <c:pt idx="1">
                  <c:v>0.95</c:v>
                </c:pt>
                <c:pt idx="2">
                  <c:v>1.0</c:v>
                </c:pt>
                <c:pt idx="3">
                  <c:v>1.05</c:v>
                </c:pt>
                <c:pt idx="4">
                  <c:v>1.1</c:v>
                </c:pt>
              </c:numCache>
            </c:numRef>
          </c:xVal>
          <c:yVal>
            <c:numRef>
              <c:f>Sheet2!$I$26:$I$30</c:f>
              <c:numCache>
                <c:formatCode>General</c:formatCode>
                <c:ptCount val="5"/>
                <c:pt idx="0">
                  <c:v>0.45637</c:v>
                </c:pt>
                <c:pt idx="1">
                  <c:v>0.46774</c:v>
                </c:pt>
                <c:pt idx="2">
                  <c:v>0.40091</c:v>
                </c:pt>
                <c:pt idx="3">
                  <c:v>0.39456</c:v>
                </c:pt>
                <c:pt idx="4">
                  <c:v>0.36754</c:v>
                </c:pt>
              </c:numCache>
            </c:numRef>
          </c:yVal>
          <c:smooth val="1"/>
        </c:ser>
        <c:ser>
          <c:idx val="1"/>
          <c:order val="1"/>
          <c:tx>
            <c:v>1pF BL Load</c:v>
          </c:tx>
          <c:xVal>
            <c:numRef>
              <c:f>Sheet2!$A$31:$A$35</c:f>
              <c:numCache>
                <c:formatCode>General</c:formatCode>
                <c:ptCount val="5"/>
                <c:pt idx="0">
                  <c:v>0.9</c:v>
                </c:pt>
                <c:pt idx="1">
                  <c:v>0.95</c:v>
                </c:pt>
                <c:pt idx="2">
                  <c:v>1.0</c:v>
                </c:pt>
                <c:pt idx="3">
                  <c:v>1.05</c:v>
                </c:pt>
                <c:pt idx="4">
                  <c:v>1.1</c:v>
                </c:pt>
              </c:numCache>
            </c:numRef>
          </c:xVal>
          <c:yVal>
            <c:numRef>
              <c:f>Sheet2!$I$31:$I$35</c:f>
              <c:numCache>
                <c:formatCode>General</c:formatCode>
                <c:ptCount val="5"/>
                <c:pt idx="0">
                  <c:v>0.45778</c:v>
                </c:pt>
                <c:pt idx="1">
                  <c:v>0.41423</c:v>
                </c:pt>
                <c:pt idx="2">
                  <c:v>0.40138</c:v>
                </c:pt>
                <c:pt idx="3">
                  <c:v>0.37927</c:v>
                </c:pt>
                <c:pt idx="4">
                  <c:v>0.361575</c:v>
                </c:pt>
              </c:numCache>
            </c:numRef>
          </c:yVal>
          <c:smooth val="1"/>
        </c:ser>
        <c:ser>
          <c:idx val="2"/>
          <c:order val="2"/>
          <c:tx>
            <c:v>2pF BL Load</c:v>
          </c:tx>
          <c:xVal>
            <c:numRef>
              <c:f>Sheet2!$A$36:$A$40</c:f>
              <c:numCache>
                <c:formatCode>General</c:formatCode>
                <c:ptCount val="5"/>
                <c:pt idx="0">
                  <c:v>0.9</c:v>
                </c:pt>
                <c:pt idx="1">
                  <c:v>0.95</c:v>
                </c:pt>
                <c:pt idx="2">
                  <c:v>1.0</c:v>
                </c:pt>
                <c:pt idx="3">
                  <c:v>1.05</c:v>
                </c:pt>
                <c:pt idx="4">
                  <c:v>1.1</c:v>
                </c:pt>
              </c:numCache>
            </c:numRef>
          </c:xVal>
          <c:yVal>
            <c:numRef>
              <c:f>Sheet2!$I$36:$I$40</c:f>
              <c:numCache>
                <c:formatCode>General</c:formatCode>
                <c:ptCount val="5"/>
                <c:pt idx="0">
                  <c:v>0.425925</c:v>
                </c:pt>
                <c:pt idx="1">
                  <c:v>0.40296</c:v>
                </c:pt>
                <c:pt idx="2">
                  <c:v>0.39151</c:v>
                </c:pt>
                <c:pt idx="3">
                  <c:v>0.37976</c:v>
                </c:pt>
                <c:pt idx="4">
                  <c:v>0.3792</c:v>
                </c:pt>
              </c:numCache>
            </c:numRef>
          </c:yVal>
          <c:smooth val="1"/>
        </c:ser>
        <c:ser>
          <c:idx val="3"/>
          <c:order val="3"/>
          <c:tx>
            <c:v>4pF BL Load</c:v>
          </c:tx>
          <c:spPr>
            <a:ln>
              <a:solidFill>
                <a:srgbClr val="008000"/>
              </a:solidFill>
            </a:ln>
          </c:spPr>
          <c:marker>
            <c:spPr>
              <a:ln>
                <a:solidFill>
                  <a:srgbClr val="008000"/>
                </a:solidFill>
              </a:ln>
            </c:spPr>
          </c:marker>
          <c:xVal>
            <c:numRef>
              <c:f>Sheet2!$A$41:$A$45</c:f>
              <c:numCache>
                <c:formatCode>General</c:formatCode>
                <c:ptCount val="5"/>
                <c:pt idx="0">
                  <c:v>0.9</c:v>
                </c:pt>
                <c:pt idx="1">
                  <c:v>0.95</c:v>
                </c:pt>
                <c:pt idx="2">
                  <c:v>1.0</c:v>
                </c:pt>
                <c:pt idx="3">
                  <c:v>1.05</c:v>
                </c:pt>
                <c:pt idx="4">
                  <c:v>1.1</c:v>
                </c:pt>
              </c:numCache>
            </c:numRef>
          </c:xVal>
          <c:yVal>
            <c:numRef>
              <c:f>Sheet2!$I$41:$I$45</c:f>
              <c:numCache>
                <c:formatCode>General</c:formatCode>
                <c:ptCount val="5"/>
                <c:pt idx="0">
                  <c:v>0.41407</c:v>
                </c:pt>
                <c:pt idx="1">
                  <c:v>0.39192</c:v>
                </c:pt>
                <c:pt idx="2">
                  <c:v>0.36707</c:v>
                </c:pt>
                <c:pt idx="3">
                  <c:v>0.36576</c:v>
                </c:pt>
                <c:pt idx="4">
                  <c:v>0.36701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6730648"/>
        <c:axId val="1776789864"/>
      </c:scatterChart>
      <c:valAx>
        <c:axId val="1776730648"/>
        <c:scaling>
          <c:orientation val="minMax"/>
          <c:max val="1.1"/>
          <c:min val="0.9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Supply Scaling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776789864"/>
        <c:crosses val="autoZero"/>
        <c:crossBetween val="midCat"/>
      </c:valAx>
      <c:valAx>
        <c:axId val="1776789864"/>
        <c:scaling>
          <c:orientation val="minMax"/>
          <c:min val="0.35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Input</a:t>
                </a:r>
                <a:r>
                  <a:rPr lang="en-US" sz="1200" baseline="0"/>
                  <a:t> Referred differential Error(mV)</a:t>
                </a:r>
                <a:endParaRPr lang="en-US" sz="1200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7767306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Input Referred</a:t>
            </a:r>
            <a:r>
              <a:rPr lang="en-US" baseline="0"/>
              <a:t> Readout Noise vs Supply Scaling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0pF BL Load</c:v>
          </c:tx>
          <c:xVal>
            <c:numRef>
              <c:f>Sheet2!$A$26:$A$30</c:f>
              <c:numCache>
                <c:formatCode>General</c:formatCode>
                <c:ptCount val="5"/>
                <c:pt idx="0">
                  <c:v>0.9</c:v>
                </c:pt>
                <c:pt idx="1">
                  <c:v>0.95</c:v>
                </c:pt>
                <c:pt idx="2">
                  <c:v>1.0</c:v>
                </c:pt>
                <c:pt idx="3">
                  <c:v>1.05</c:v>
                </c:pt>
                <c:pt idx="4">
                  <c:v>1.1</c:v>
                </c:pt>
              </c:numCache>
            </c:numRef>
          </c:xVal>
          <c:yVal>
            <c:numRef>
              <c:f>Sheet2!$M$26:$M$30</c:f>
              <c:numCache>
                <c:formatCode>0.0000</c:formatCode>
                <c:ptCount val="5"/>
                <c:pt idx="0">
                  <c:v>0.50492</c:v>
                </c:pt>
                <c:pt idx="1">
                  <c:v>0.494725</c:v>
                </c:pt>
                <c:pt idx="2">
                  <c:v>0.45209</c:v>
                </c:pt>
                <c:pt idx="3">
                  <c:v>0.42744</c:v>
                </c:pt>
                <c:pt idx="4">
                  <c:v>0.41548</c:v>
                </c:pt>
              </c:numCache>
            </c:numRef>
          </c:yVal>
          <c:smooth val="1"/>
        </c:ser>
        <c:ser>
          <c:idx val="1"/>
          <c:order val="1"/>
          <c:tx>
            <c:v>1pF BL Load</c:v>
          </c:tx>
          <c:xVal>
            <c:numRef>
              <c:f>Sheet2!$A$31:$A$35</c:f>
              <c:numCache>
                <c:formatCode>General</c:formatCode>
                <c:ptCount val="5"/>
                <c:pt idx="0">
                  <c:v>0.9</c:v>
                </c:pt>
                <c:pt idx="1">
                  <c:v>0.95</c:v>
                </c:pt>
                <c:pt idx="2">
                  <c:v>1.0</c:v>
                </c:pt>
                <c:pt idx="3">
                  <c:v>1.05</c:v>
                </c:pt>
                <c:pt idx="4">
                  <c:v>1.1</c:v>
                </c:pt>
              </c:numCache>
            </c:numRef>
          </c:xVal>
          <c:yVal>
            <c:numRef>
              <c:f>Sheet2!$M$31:$M$35</c:f>
              <c:numCache>
                <c:formatCode>0.0000</c:formatCode>
                <c:ptCount val="5"/>
                <c:pt idx="0">
                  <c:v>0.51622</c:v>
                </c:pt>
                <c:pt idx="1">
                  <c:v>0.477265</c:v>
                </c:pt>
                <c:pt idx="2">
                  <c:v>0.45262</c:v>
                </c:pt>
                <c:pt idx="3">
                  <c:v>0.42874</c:v>
                </c:pt>
                <c:pt idx="4">
                  <c:v>0.38568</c:v>
                </c:pt>
              </c:numCache>
            </c:numRef>
          </c:yVal>
          <c:smooth val="1"/>
        </c:ser>
        <c:ser>
          <c:idx val="2"/>
          <c:order val="2"/>
          <c:tx>
            <c:v>2pF BL Load</c:v>
          </c:tx>
          <c:xVal>
            <c:numRef>
              <c:f>Sheet2!$A$36:$A$40</c:f>
              <c:numCache>
                <c:formatCode>General</c:formatCode>
                <c:ptCount val="5"/>
                <c:pt idx="0">
                  <c:v>0.9</c:v>
                </c:pt>
                <c:pt idx="1">
                  <c:v>0.95</c:v>
                </c:pt>
                <c:pt idx="2">
                  <c:v>1.0</c:v>
                </c:pt>
                <c:pt idx="3">
                  <c:v>1.05</c:v>
                </c:pt>
                <c:pt idx="4">
                  <c:v>1.1</c:v>
                </c:pt>
              </c:numCache>
            </c:numRef>
          </c:xVal>
          <c:yVal>
            <c:numRef>
              <c:f>Sheet2!$M$36:$M$40</c:f>
              <c:numCache>
                <c:formatCode>0.0000</c:formatCode>
                <c:ptCount val="5"/>
                <c:pt idx="0">
                  <c:v>0.49218</c:v>
                </c:pt>
                <c:pt idx="1">
                  <c:v>0.49056</c:v>
                </c:pt>
                <c:pt idx="2">
                  <c:v>0.44149</c:v>
                </c:pt>
                <c:pt idx="3">
                  <c:v>0.42016</c:v>
                </c:pt>
                <c:pt idx="4">
                  <c:v>0.3476</c:v>
                </c:pt>
              </c:numCache>
            </c:numRef>
          </c:yVal>
          <c:smooth val="1"/>
        </c:ser>
        <c:ser>
          <c:idx val="3"/>
          <c:order val="3"/>
          <c:tx>
            <c:v>4pF BL Load</c:v>
          </c:tx>
          <c:spPr>
            <a:ln>
              <a:solidFill>
                <a:srgbClr val="008000"/>
              </a:solidFill>
            </a:ln>
          </c:spPr>
          <c:marker>
            <c:spPr>
              <a:ln>
                <a:solidFill>
                  <a:srgbClr val="008000"/>
                </a:solidFill>
              </a:ln>
            </c:spPr>
          </c:marker>
          <c:xVal>
            <c:numRef>
              <c:f>Sheet2!$A$41:$A$45</c:f>
              <c:numCache>
                <c:formatCode>General</c:formatCode>
                <c:ptCount val="5"/>
                <c:pt idx="0">
                  <c:v>0.9</c:v>
                </c:pt>
                <c:pt idx="1">
                  <c:v>0.95</c:v>
                </c:pt>
                <c:pt idx="2">
                  <c:v>1.0</c:v>
                </c:pt>
                <c:pt idx="3">
                  <c:v>1.05</c:v>
                </c:pt>
                <c:pt idx="4">
                  <c:v>1.1</c:v>
                </c:pt>
              </c:numCache>
            </c:numRef>
          </c:xVal>
          <c:yVal>
            <c:numRef>
              <c:f>Sheet2!$M$41:$M$45</c:f>
              <c:numCache>
                <c:formatCode>0.0000</c:formatCode>
                <c:ptCount val="5"/>
                <c:pt idx="0">
                  <c:v>0.481026</c:v>
                </c:pt>
                <c:pt idx="1">
                  <c:v>0.45724</c:v>
                </c:pt>
                <c:pt idx="2">
                  <c:v>0.44517</c:v>
                </c:pt>
                <c:pt idx="3">
                  <c:v>0.36576</c:v>
                </c:pt>
                <c:pt idx="4">
                  <c:v>0.36701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3779896"/>
        <c:axId val="2144203336"/>
      </c:scatterChart>
      <c:valAx>
        <c:axId val="2143779896"/>
        <c:scaling>
          <c:orientation val="minMax"/>
          <c:max val="1.1"/>
          <c:min val="0.9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Supply Scaling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44203336"/>
        <c:crosses val="autoZero"/>
        <c:crossBetween val="midCat"/>
      </c:valAx>
      <c:valAx>
        <c:axId val="2144203336"/>
        <c:scaling>
          <c:orientation val="minMax"/>
          <c:min val="0.3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Input Referred</a:t>
                </a:r>
                <a:r>
                  <a:rPr lang="en-US" sz="1200" baseline="0"/>
                  <a:t> Readout Noise(mV)</a:t>
                </a:r>
                <a:endParaRPr lang="en-US" sz="1200"/>
              </a:p>
            </c:rich>
          </c:tx>
          <c:layout/>
          <c:overlay val="0"/>
        </c:title>
        <c:numFmt formatCode="0.0000" sourceLinked="1"/>
        <c:majorTickMark val="none"/>
        <c:minorTickMark val="none"/>
        <c:tickLblPos val="nextTo"/>
        <c:crossAx val="21437798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Settling Percentage</a:t>
            </a:r>
            <a:r>
              <a:rPr lang="en-US" baseline="0"/>
              <a:t> vs Settling Time w 0pF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supply scale = 0.9</c:v>
          </c:tx>
          <c:xVal>
            <c:numRef>
              <c:f>Sheet3!$F$1:$K$1</c:f>
              <c:numCache>
                <c:formatCode>General</c:formatCode>
                <c:ptCount val="6"/>
                <c:pt idx="0">
                  <c:v>20.0</c:v>
                </c:pt>
                <c:pt idx="1">
                  <c:v>44.0</c:v>
                </c:pt>
                <c:pt idx="2">
                  <c:v>60.0</c:v>
                </c:pt>
                <c:pt idx="3">
                  <c:v>75.0</c:v>
                </c:pt>
                <c:pt idx="4">
                  <c:v>100.0</c:v>
                </c:pt>
                <c:pt idx="5">
                  <c:v>125.0</c:v>
                </c:pt>
              </c:numCache>
            </c:numRef>
          </c:xVal>
          <c:yVal>
            <c:numRef>
              <c:f>Sheet3!$F$2:$K$2</c:f>
              <c:numCache>
                <c:formatCode>0.0000</c:formatCode>
                <c:ptCount val="6"/>
                <c:pt idx="0">
                  <c:v>0.399042298483639</c:v>
                </c:pt>
                <c:pt idx="1">
                  <c:v>0.514933058702369</c:v>
                </c:pt>
                <c:pt idx="2">
                  <c:v>0.564652738565782</c:v>
                </c:pt>
                <c:pt idx="3">
                  <c:v>0.602046959662854</c:v>
                </c:pt>
                <c:pt idx="4">
                  <c:v>0.638162093171666</c:v>
                </c:pt>
                <c:pt idx="5">
                  <c:v>0.661375661375661</c:v>
                </c:pt>
              </c:numCache>
            </c:numRef>
          </c:yVal>
          <c:smooth val="1"/>
        </c:ser>
        <c:ser>
          <c:idx val="1"/>
          <c:order val="1"/>
          <c:tx>
            <c:v>Supply Scale = 0.95</c:v>
          </c:tx>
          <c:xVal>
            <c:numRef>
              <c:f>Sheet3!$F$1:$K$1</c:f>
              <c:numCache>
                <c:formatCode>General</c:formatCode>
                <c:ptCount val="6"/>
                <c:pt idx="0">
                  <c:v>20.0</c:v>
                </c:pt>
                <c:pt idx="1">
                  <c:v>44.0</c:v>
                </c:pt>
                <c:pt idx="2">
                  <c:v>60.0</c:v>
                </c:pt>
                <c:pt idx="3">
                  <c:v>75.0</c:v>
                </c:pt>
                <c:pt idx="4">
                  <c:v>100.0</c:v>
                </c:pt>
                <c:pt idx="5">
                  <c:v>125.0</c:v>
                </c:pt>
              </c:numCache>
            </c:numRef>
          </c:xVal>
          <c:yVal>
            <c:numRef>
              <c:f>Sheet3!$F$3:$K$3</c:f>
              <c:numCache>
                <c:formatCode>0.0000</c:formatCode>
                <c:ptCount val="6"/>
                <c:pt idx="0">
                  <c:v>0.431406384814495</c:v>
                </c:pt>
                <c:pt idx="1">
                  <c:v>0.555864369093941</c:v>
                </c:pt>
                <c:pt idx="2">
                  <c:v>0.61050061050061</c:v>
                </c:pt>
                <c:pt idx="3">
                  <c:v>0.65359477124183</c:v>
                </c:pt>
                <c:pt idx="4">
                  <c:v>0.69589422407794</c:v>
                </c:pt>
                <c:pt idx="5">
                  <c:v>0.736377025036819</c:v>
                </c:pt>
              </c:numCache>
            </c:numRef>
          </c:yVal>
          <c:smooth val="1"/>
        </c:ser>
        <c:ser>
          <c:idx val="2"/>
          <c:order val="2"/>
          <c:tx>
            <c:v>Supply Scale = 1</c:v>
          </c:tx>
          <c:xVal>
            <c:numRef>
              <c:f>Sheet3!$F$1:$K$1</c:f>
              <c:numCache>
                <c:formatCode>General</c:formatCode>
                <c:ptCount val="6"/>
                <c:pt idx="0">
                  <c:v>20.0</c:v>
                </c:pt>
                <c:pt idx="1">
                  <c:v>44.0</c:v>
                </c:pt>
                <c:pt idx="2">
                  <c:v>60.0</c:v>
                </c:pt>
                <c:pt idx="3">
                  <c:v>75.0</c:v>
                </c:pt>
                <c:pt idx="4">
                  <c:v>100.0</c:v>
                </c:pt>
                <c:pt idx="5">
                  <c:v>125.0</c:v>
                </c:pt>
              </c:numCache>
            </c:numRef>
          </c:xVal>
          <c:yVal>
            <c:numRef>
              <c:f>Sheet3!$F$4:$K$4</c:f>
              <c:numCache>
                <c:formatCode>0.0000</c:formatCode>
                <c:ptCount val="6"/>
                <c:pt idx="0">
                  <c:v>0.455788514129444</c:v>
                </c:pt>
                <c:pt idx="1">
                  <c:v>0.586166471277843</c:v>
                </c:pt>
                <c:pt idx="2">
                  <c:v>0.643500643500643</c:v>
                </c:pt>
                <c:pt idx="3">
                  <c:v>0.692041522491349</c:v>
                </c:pt>
                <c:pt idx="4">
                  <c:v>0.741839762611276</c:v>
                </c:pt>
                <c:pt idx="5">
                  <c:v>0.78064012490242</c:v>
                </c:pt>
              </c:numCache>
            </c:numRef>
          </c:yVal>
          <c:smooth val="1"/>
        </c:ser>
        <c:ser>
          <c:idx val="3"/>
          <c:order val="3"/>
          <c:tx>
            <c:v>Supply Scale = 1.05</c:v>
          </c:tx>
          <c:spPr>
            <a:ln>
              <a:solidFill>
                <a:schemeClr val="accent4">
                  <a:lumMod val="50000"/>
                </a:schemeClr>
              </a:solidFill>
            </a:ln>
          </c:spPr>
          <c:marker>
            <c:spPr>
              <a:ln>
                <a:solidFill>
                  <a:schemeClr val="accent4">
                    <a:lumMod val="50000"/>
                  </a:schemeClr>
                </a:solidFill>
              </a:ln>
            </c:spPr>
          </c:marker>
          <c:xVal>
            <c:numRef>
              <c:f>Sheet3!$F$1:$K$1</c:f>
              <c:numCache>
                <c:formatCode>General</c:formatCode>
                <c:ptCount val="6"/>
                <c:pt idx="0">
                  <c:v>20.0</c:v>
                </c:pt>
                <c:pt idx="1">
                  <c:v>44.0</c:v>
                </c:pt>
                <c:pt idx="2">
                  <c:v>60.0</c:v>
                </c:pt>
                <c:pt idx="3">
                  <c:v>75.0</c:v>
                </c:pt>
                <c:pt idx="4">
                  <c:v>100.0</c:v>
                </c:pt>
                <c:pt idx="5">
                  <c:v>125.0</c:v>
                </c:pt>
              </c:numCache>
            </c:numRef>
          </c:xVal>
          <c:yVal>
            <c:numRef>
              <c:f>Sheet3!$F$5:$K$5</c:f>
              <c:numCache>
                <c:formatCode>0.0000</c:formatCode>
                <c:ptCount val="6"/>
                <c:pt idx="0">
                  <c:v>0.4739336492891</c:v>
                </c:pt>
                <c:pt idx="1">
                  <c:v>0.608272506082725</c:v>
                </c:pt>
                <c:pt idx="2">
                  <c:v>0.666666666666667</c:v>
                </c:pt>
                <c:pt idx="3">
                  <c:v>0.713266761768902</c:v>
                </c:pt>
                <c:pt idx="4">
                  <c:v>0.766283524904215</c:v>
                </c:pt>
                <c:pt idx="5">
                  <c:v>0.801282051282051</c:v>
                </c:pt>
              </c:numCache>
            </c:numRef>
          </c:yVal>
          <c:smooth val="1"/>
        </c:ser>
        <c:ser>
          <c:idx val="4"/>
          <c:order val="4"/>
          <c:tx>
            <c:v>Supply Scale = 1.1</c:v>
          </c:tx>
          <c:spPr>
            <a:ln>
              <a:solidFill>
                <a:srgbClr val="008000"/>
              </a:solidFill>
            </a:ln>
          </c:spPr>
          <c:marker>
            <c:spPr>
              <a:ln>
                <a:solidFill>
                  <a:srgbClr val="008000"/>
                </a:solidFill>
              </a:ln>
            </c:spPr>
          </c:marker>
          <c:xVal>
            <c:numRef>
              <c:f>Sheet3!$F$1:$K$1</c:f>
              <c:numCache>
                <c:formatCode>General</c:formatCode>
                <c:ptCount val="6"/>
                <c:pt idx="0">
                  <c:v>20.0</c:v>
                </c:pt>
                <c:pt idx="1">
                  <c:v>44.0</c:v>
                </c:pt>
                <c:pt idx="2">
                  <c:v>60.0</c:v>
                </c:pt>
                <c:pt idx="3">
                  <c:v>75.0</c:v>
                </c:pt>
                <c:pt idx="4">
                  <c:v>100.0</c:v>
                </c:pt>
                <c:pt idx="5">
                  <c:v>125.0</c:v>
                </c:pt>
              </c:numCache>
            </c:numRef>
          </c:xVal>
          <c:yVal>
            <c:numRef>
              <c:f>Sheet3!$F$6:$K$6</c:f>
              <c:numCache>
                <c:formatCode>0.0000</c:formatCode>
                <c:ptCount val="6"/>
                <c:pt idx="0">
                  <c:v>0.488758553274682</c:v>
                </c:pt>
                <c:pt idx="1">
                  <c:v>0.625782227784731</c:v>
                </c:pt>
                <c:pt idx="2">
                  <c:v>0.684931506849315</c:v>
                </c:pt>
                <c:pt idx="3">
                  <c:v>0.733137829912023</c:v>
                </c:pt>
                <c:pt idx="4">
                  <c:v>0.78064012490242</c:v>
                </c:pt>
                <c:pt idx="5">
                  <c:v>0.814995925020375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6516888"/>
        <c:axId val="1777673304"/>
      </c:scatterChart>
      <c:valAx>
        <c:axId val="1776516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Settling</a:t>
                </a:r>
                <a:r>
                  <a:rPr lang="en-US" baseline="0"/>
                  <a:t> Time (ns)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777673304"/>
        <c:crosses val="autoZero"/>
        <c:crossBetween val="midCat"/>
      </c:valAx>
      <c:valAx>
        <c:axId val="1777673304"/>
        <c:scaling>
          <c:orientation val="minMax"/>
          <c:min val="0.3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Settling</a:t>
                </a:r>
                <a:r>
                  <a:rPr lang="en-US" baseline="0"/>
                  <a:t> Percentage</a:t>
                </a:r>
                <a:endParaRPr lang="en-US"/>
              </a:p>
            </c:rich>
          </c:tx>
          <c:layout/>
          <c:overlay val="0"/>
        </c:title>
        <c:numFmt formatCode="0.00" sourceLinked="0"/>
        <c:majorTickMark val="none"/>
        <c:minorTickMark val="none"/>
        <c:tickLblPos val="nextTo"/>
        <c:crossAx val="17765168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Settling Percentage</a:t>
            </a:r>
            <a:r>
              <a:rPr lang="en-US" baseline="0"/>
              <a:t> vs Settling Time w 1pF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supply scale = 0.9</c:v>
          </c:tx>
          <c:xVal>
            <c:numRef>
              <c:f>Sheet3!$F$1:$K$1</c:f>
              <c:numCache>
                <c:formatCode>General</c:formatCode>
                <c:ptCount val="6"/>
                <c:pt idx="0">
                  <c:v>20.0</c:v>
                </c:pt>
                <c:pt idx="1">
                  <c:v>44.0</c:v>
                </c:pt>
                <c:pt idx="2">
                  <c:v>60.0</c:v>
                </c:pt>
                <c:pt idx="3">
                  <c:v>75.0</c:v>
                </c:pt>
                <c:pt idx="4">
                  <c:v>100.0</c:v>
                </c:pt>
                <c:pt idx="5">
                  <c:v>125.0</c:v>
                </c:pt>
              </c:numCache>
            </c:numRef>
          </c:xVal>
          <c:yVal>
            <c:numRef>
              <c:f>Sheet3!$F$7:$K$7</c:f>
              <c:numCache>
                <c:formatCode>0.0000</c:formatCode>
                <c:ptCount val="6"/>
                <c:pt idx="0">
                  <c:v>0.429000429000429</c:v>
                </c:pt>
                <c:pt idx="1">
                  <c:v>0.513347022587269</c:v>
                </c:pt>
                <c:pt idx="2">
                  <c:v>0.552791597567717</c:v>
                </c:pt>
                <c:pt idx="3">
                  <c:v>0.591366055588409</c:v>
                </c:pt>
                <c:pt idx="4">
                  <c:v>0.623830318153462</c:v>
                </c:pt>
                <c:pt idx="5">
                  <c:v>0.646830530401035</c:v>
                </c:pt>
              </c:numCache>
            </c:numRef>
          </c:yVal>
          <c:smooth val="1"/>
        </c:ser>
        <c:ser>
          <c:idx val="1"/>
          <c:order val="1"/>
          <c:tx>
            <c:v>Supply Scale = 0.95</c:v>
          </c:tx>
          <c:xVal>
            <c:numRef>
              <c:f>Sheet3!$F$1:$K$1</c:f>
              <c:numCache>
                <c:formatCode>General</c:formatCode>
                <c:ptCount val="6"/>
                <c:pt idx="0">
                  <c:v>20.0</c:v>
                </c:pt>
                <c:pt idx="1">
                  <c:v>44.0</c:v>
                </c:pt>
                <c:pt idx="2">
                  <c:v>60.0</c:v>
                </c:pt>
                <c:pt idx="3">
                  <c:v>75.0</c:v>
                </c:pt>
                <c:pt idx="4">
                  <c:v>100.0</c:v>
                </c:pt>
                <c:pt idx="5">
                  <c:v>125.0</c:v>
                </c:pt>
              </c:numCache>
            </c:numRef>
          </c:xVal>
          <c:yVal>
            <c:numRef>
              <c:f>Sheet3!$F$8:$K$8</c:f>
              <c:numCache>
                <c:formatCode>0.0000</c:formatCode>
                <c:ptCount val="6"/>
                <c:pt idx="0">
                  <c:v>0.466417910447761</c:v>
                </c:pt>
                <c:pt idx="1">
                  <c:v>0.555247084952804</c:v>
                </c:pt>
                <c:pt idx="2">
                  <c:v>0.598802395209581</c:v>
                </c:pt>
                <c:pt idx="3">
                  <c:v>0.641848523748395</c:v>
                </c:pt>
                <c:pt idx="4">
                  <c:v>0.679347826086956</c:v>
                </c:pt>
                <c:pt idx="5">
                  <c:v>0.706214689265537</c:v>
                </c:pt>
              </c:numCache>
            </c:numRef>
          </c:yVal>
          <c:smooth val="1"/>
        </c:ser>
        <c:ser>
          <c:idx val="2"/>
          <c:order val="2"/>
          <c:tx>
            <c:v>Supply Scale = 1</c:v>
          </c:tx>
          <c:xVal>
            <c:numRef>
              <c:f>Sheet3!$F$1:$K$1</c:f>
              <c:numCache>
                <c:formatCode>General</c:formatCode>
                <c:ptCount val="6"/>
                <c:pt idx="0">
                  <c:v>20.0</c:v>
                </c:pt>
                <c:pt idx="1">
                  <c:v>44.0</c:v>
                </c:pt>
                <c:pt idx="2">
                  <c:v>60.0</c:v>
                </c:pt>
                <c:pt idx="3">
                  <c:v>75.0</c:v>
                </c:pt>
                <c:pt idx="4">
                  <c:v>100.0</c:v>
                </c:pt>
                <c:pt idx="5">
                  <c:v>125.0</c:v>
                </c:pt>
              </c:numCache>
            </c:numRef>
          </c:xVal>
          <c:yVal>
            <c:numRef>
              <c:f>Sheet3!$F$9:$K$9</c:f>
              <c:numCache>
                <c:formatCode>0.0000</c:formatCode>
                <c:ptCount val="6"/>
                <c:pt idx="0">
                  <c:v>0.493096646942801</c:v>
                </c:pt>
                <c:pt idx="1">
                  <c:v>0.585480093676815</c:v>
                </c:pt>
                <c:pt idx="2">
                  <c:v>0.630914826498423</c:v>
                </c:pt>
                <c:pt idx="3">
                  <c:v>0.6765899864682</c:v>
                </c:pt>
                <c:pt idx="4">
                  <c:v>0.718390804597701</c:v>
                </c:pt>
                <c:pt idx="5">
                  <c:v>0.755287009063444</c:v>
                </c:pt>
              </c:numCache>
            </c:numRef>
          </c:yVal>
          <c:smooth val="1"/>
        </c:ser>
        <c:ser>
          <c:idx val="3"/>
          <c:order val="3"/>
          <c:tx>
            <c:v>Supply Scale = 1.05</c:v>
          </c:tx>
          <c:spPr>
            <a:ln>
              <a:solidFill>
                <a:schemeClr val="accent4">
                  <a:lumMod val="50000"/>
                </a:schemeClr>
              </a:solidFill>
            </a:ln>
          </c:spPr>
          <c:marker>
            <c:spPr>
              <a:ln>
                <a:solidFill>
                  <a:schemeClr val="accent4">
                    <a:lumMod val="50000"/>
                  </a:schemeClr>
                </a:solidFill>
              </a:ln>
            </c:spPr>
          </c:marker>
          <c:xVal>
            <c:numRef>
              <c:f>Sheet3!$F$1:$K$1</c:f>
              <c:numCache>
                <c:formatCode>General</c:formatCode>
                <c:ptCount val="6"/>
                <c:pt idx="0">
                  <c:v>20.0</c:v>
                </c:pt>
                <c:pt idx="1">
                  <c:v>44.0</c:v>
                </c:pt>
                <c:pt idx="2">
                  <c:v>60.0</c:v>
                </c:pt>
                <c:pt idx="3">
                  <c:v>75.0</c:v>
                </c:pt>
                <c:pt idx="4">
                  <c:v>100.0</c:v>
                </c:pt>
                <c:pt idx="5">
                  <c:v>125.0</c:v>
                </c:pt>
              </c:numCache>
            </c:numRef>
          </c:xVal>
          <c:yVal>
            <c:numRef>
              <c:f>Sheet3!$F$10:$K$10</c:f>
              <c:numCache>
                <c:formatCode>0.0000</c:formatCode>
                <c:ptCount val="6"/>
                <c:pt idx="0">
                  <c:v>0.510204081632653</c:v>
                </c:pt>
                <c:pt idx="1">
                  <c:v>0.606428138265615</c:v>
                </c:pt>
                <c:pt idx="2">
                  <c:v>0.652741514360313</c:v>
                </c:pt>
                <c:pt idx="3">
                  <c:v>0.699300699300699</c:v>
                </c:pt>
                <c:pt idx="4">
                  <c:v>0.744601638123604</c:v>
                </c:pt>
                <c:pt idx="5">
                  <c:v>0.777604976671851</c:v>
                </c:pt>
              </c:numCache>
            </c:numRef>
          </c:yVal>
          <c:smooth val="1"/>
        </c:ser>
        <c:ser>
          <c:idx val="4"/>
          <c:order val="4"/>
          <c:tx>
            <c:v>Supply Scale = 1.1</c:v>
          </c:tx>
          <c:spPr>
            <a:ln>
              <a:solidFill>
                <a:srgbClr val="008000"/>
              </a:solidFill>
            </a:ln>
          </c:spPr>
          <c:marker>
            <c:spPr>
              <a:ln>
                <a:solidFill>
                  <a:srgbClr val="008000"/>
                </a:solidFill>
              </a:ln>
            </c:spPr>
          </c:marker>
          <c:xVal>
            <c:numRef>
              <c:f>Sheet3!$F$1:$K$1</c:f>
              <c:numCache>
                <c:formatCode>General</c:formatCode>
                <c:ptCount val="6"/>
                <c:pt idx="0">
                  <c:v>20.0</c:v>
                </c:pt>
                <c:pt idx="1">
                  <c:v>44.0</c:v>
                </c:pt>
                <c:pt idx="2">
                  <c:v>60.0</c:v>
                </c:pt>
                <c:pt idx="3">
                  <c:v>75.0</c:v>
                </c:pt>
                <c:pt idx="4">
                  <c:v>100.0</c:v>
                </c:pt>
                <c:pt idx="5">
                  <c:v>125.0</c:v>
                </c:pt>
              </c:numCache>
            </c:numRef>
          </c:xVal>
          <c:yVal>
            <c:numRef>
              <c:f>Sheet3!$F$11:$K$11</c:f>
              <c:numCache>
                <c:formatCode>0.0000</c:formatCode>
                <c:ptCount val="6"/>
                <c:pt idx="0">
                  <c:v>0.523286237571952</c:v>
                </c:pt>
                <c:pt idx="1">
                  <c:v>0.622277535780958</c:v>
                </c:pt>
                <c:pt idx="2">
                  <c:v>0.669344042838019</c:v>
                </c:pt>
                <c:pt idx="3">
                  <c:v>0.715819613457409</c:v>
                </c:pt>
                <c:pt idx="4">
                  <c:v>0.760456273764259</c:v>
                </c:pt>
                <c:pt idx="5">
                  <c:v>0.792393026941363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7052968"/>
        <c:axId val="2143375656"/>
      </c:scatterChart>
      <c:valAx>
        <c:axId val="1777052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Settling</a:t>
                </a:r>
                <a:r>
                  <a:rPr lang="en-US" baseline="0"/>
                  <a:t> Time (ns)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43375656"/>
        <c:crosses val="autoZero"/>
        <c:crossBetween val="midCat"/>
      </c:valAx>
      <c:valAx>
        <c:axId val="2143375656"/>
        <c:scaling>
          <c:orientation val="minMax"/>
          <c:min val="0.3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Settling</a:t>
                </a:r>
                <a:r>
                  <a:rPr lang="en-US" baseline="0"/>
                  <a:t> Percentage</a:t>
                </a:r>
                <a:endParaRPr lang="en-US"/>
              </a:p>
            </c:rich>
          </c:tx>
          <c:layout/>
          <c:overlay val="0"/>
        </c:title>
        <c:numFmt formatCode="0.000" sourceLinked="0"/>
        <c:majorTickMark val="none"/>
        <c:minorTickMark val="none"/>
        <c:tickLblPos val="nextTo"/>
        <c:crossAx val="17770529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Settling Percentage</a:t>
            </a:r>
            <a:r>
              <a:rPr lang="en-US" baseline="0"/>
              <a:t> vs Settling Time w 2pF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supply scale = 0.9</c:v>
          </c:tx>
          <c:xVal>
            <c:numRef>
              <c:f>Sheet3!$F$1:$K$1</c:f>
              <c:numCache>
                <c:formatCode>General</c:formatCode>
                <c:ptCount val="6"/>
                <c:pt idx="0">
                  <c:v>20.0</c:v>
                </c:pt>
                <c:pt idx="1">
                  <c:v>44.0</c:v>
                </c:pt>
                <c:pt idx="2">
                  <c:v>60.0</c:v>
                </c:pt>
                <c:pt idx="3">
                  <c:v>75.0</c:v>
                </c:pt>
                <c:pt idx="4">
                  <c:v>100.0</c:v>
                </c:pt>
                <c:pt idx="5">
                  <c:v>125.0</c:v>
                </c:pt>
              </c:numCache>
            </c:numRef>
          </c:xVal>
          <c:yVal>
            <c:numRef>
              <c:f>Sheet3!$F$12:$K$12</c:f>
              <c:numCache>
                <c:formatCode>0.0000</c:formatCode>
                <c:ptCount val="6"/>
                <c:pt idx="0">
                  <c:v>0.465116279069767</c:v>
                </c:pt>
                <c:pt idx="1">
                  <c:v>0.528262017960909</c:v>
                </c:pt>
                <c:pt idx="2">
                  <c:v>0.560538116591928</c:v>
                </c:pt>
                <c:pt idx="3">
                  <c:v>0.595947556615018</c:v>
                </c:pt>
                <c:pt idx="4">
                  <c:v>0.625</c:v>
                </c:pt>
                <c:pt idx="5">
                  <c:v>0.647249190938511</c:v>
                </c:pt>
              </c:numCache>
            </c:numRef>
          </c:yVal>
          <c:smooth val="1"/>
        </c:ser>
        <c:ser>
          <c:idx val="1"/>
          <c:order val="1"/>
          <c:tx>
            <c:v>Supply Scale = 0.95</c:v>
          </c:tx>
          <c:xVal>
            <c:numRef>
              <c:f>Sheet3!$F$1:$K$1</c:f>
              <c:numCache>
                <c:formatCode>General</c:formatCode>
                <c:ptCount val="6"/>
                <c:pt idx="0">
                  <c:v>20.0</c:v>
                </c:pt>
                <c:pt idx="1">
                  <c:v>44.0</c:v>
                </c:pt>
                <c:pt idx="2">
                  <c:v>60.0</c:v>
                </c:pt>
                <c:pt idx="3">
                  <c:v>75.0</c:v>
                </c:pt>
                <c:pt idx="4">
                  <c:v>100.0</c:v>
                </c:pt>
                <c:pt idx="5">
                  <c:v>125.0</c:v>
                </c:pt>
              </c:numCache>
            </c:numRef>
          </c:xVal>
          <c:yVal>
            <c:numRef>
              <c:f>Sheet3!$F$13:$K$13</c:f>
              <c:numCache>
                <c:formatCode>0.0000</c:formatCode>
                <c:ptCount val="6"/>
                <c:pt idx="0">
                  <c:v>0.505561172901921</c:v>
                </c:pt>
                <c:pt idx="1">
                  <c:v>0.570776255707763</c:v>
                </c:pt>
                <c:pt idx="2">
                  <c:v>0.605326876513317</c:v>
                </c:pt>
                <c:pt idx="3">
                  <c:v>0.644745325596389</c:v>
                </c:pt>
                <c:pt idx="4">
                  <c:v>0.6765899864682</c:v>
                </c:pt>
                <c:pt idx="5">
                  <c:v>0.701262272089761</c:v>
                </c:pt>
              </c:numCache>
            </c:numRef>
          </c:yVal>
          <c:smooth val="1"/>
        </c:ser>
        <c:ser>
          <c:idx val="2"/>
          <c:order val="2"/>
          <c:tx>
            <c:v>Supply Scale = 1</c:v>
          </c:tx>
          <c:xVal>
            <c:numRef>
              <c:f>Sheet3!$F$1:$K$1</c:f>
              <c:numCache>
                <c:formatCode>General</c:formatCode>
                <c:ptCount val="6"/>
                <c:pt idx="0">
                  <c:v>20.0</c:v>
                </c:pt>
                <c:pt idx="1">
                  <c:v>44.0</c:v>
                </c:pt>
                <c:pt idx="2">
                  <c:v>60.0</c:v>
                </c:pt>
                <c:pt idx="3">
                  <c:v>75.0</c:v>
                </c:pt>
                <c:pt idx="4">
                  <c:v>100.0</c:v>
                </c:pt>
                <c:pt idx="5">
                  <c:v>125.0</c:v>
                </c:pt>
              </c:numCache>
            </c:numRef>
          </c:xVal>
          <c:yVal>
            <c:numRef>
              <c:f>Sheet3!$F$14:$K$14</c:f>
              <c:numCache>
                <c:formatCode>0.0000</c:formatCode>
                <c:ptCount val="6"/>
                <c:pt idx="0">
                  <c:v>0.53276505061268</c:v>
                </c:pt>
                <c:pt idx="1">
                  <c:v>0.600240096038415</c:v>
                </c:pt>
                <c:pt idx="2">
                  <c:v>0.636132315521628</c:v>
                </c:pt>
                <c:pt idx="3">
                  <c:v>0.6765899864682</c:v>
                </c:pt>
                <c:pt idx="4">
                  <c:v>0.710227272727273</c:v>
                </c:pt>
                <c:pt idx="5">
                  <c:v>0.742942050520059</c:v>
                </c:pt>
              </c:numCache>
            </c:numRef>
          </c:yVal>
          <c:smooth val="1"/>
        </c:ser>
        <c:ser>
          <c:idx val="3"/>
          <c:order val="3"/>
          <c:tx>
            <c:v>Supply Scale = 1.05</c:v>
          </c:tx>
          <c:spPr>
            <a:ln>
              <a:solidFill>
                <a:schemeClr val="accent4">
                  <a:lumMod val="50000"/>
                </a:schemeClr>
              </a:solidFill>
            </a:ln>
          </c:spPr>
          <c:marker>
            <c:spPr>
              <a:ln>
                <a:solidFill>
                  <a:schemeClr val="accent4">
                    <a:lumMod val="50000"/>
                  </a:schemeClr>
                </a:solidFill>
              </a:ln>
            </c:spPr>
          </c:marker>
          <c:xVal>
            <c:numRef>
              <c:f>Sheet3!$F$1:$K$1</c:f>
              <c:numCache>
                <c:formatCode>General</c:formatCode>
                <c:ptCount val="6"/>
                <c:pt idx="0">
                  <c:v>20.0</c:v>
                </c:pt>
                <c:pt idx="1">
                  <c:v>44.0</c:v>
                </c:pt>
                <c:pt idx="2">
                  <c:v>60.0</c:v>
                </c:pt>
                <c:pt idx="3">
                  <c:v>75.0</c:v>
                </c:pt>
                <c:pt idx="4">
                  <c:v>100.0</c:v>
                </c:pt>
                <c:pt idx="5">
                  <c:v>125.0</c:v>
                </c:pt>
              </c:numCache>
            </c:numRef>
          </c:xVal>
          <c:yVal>
            <c:numRef>
              <c:f>Sheet3!$F$15:$K$15</c:f>
              <c:numCache>
                <c:formatCode>0.0000</c:formatCode>
                <c:ptCount val="6"/>
                <c:pt idx="0">
                  <c:v>0.548546352166758</c:v>
                </c:pt>
                <c:pt idx="1">
                  <c:v>0.618811881188119</c:v>
                </c:pt>
                <c:pt idx="2">
                  <c:v>0.655307994757536</c:v>
                </c:pt>
                <c:pt idx="3">
                  <c:v>0.696378830083565</c:v>
                </c:pt>
                <c:pt idx="4">
                  <c:v>0.733675715333822</c:v>
                </c:pt>
                <c:pt idx="5">
                  <c:v>0.763941940412529</c:v>
                </c:pt>
              </c:numCache>
            </c:numRef>
          </c:yVal>
          <c:smooth val="1"/>
        </c:ser>
        <c:ser>
          <c:idx val="4"/>
          <c:order val="4"/>
          <c:tx>
            <c:v>Supply Scale = 1.1</c:v>
          </c:tx>
          <c:spPr>
            <a:ln>
              <a:solidFill>
                <a:srgbClr val="008000"/>
              </a:solidFill>
            </a:ln>
          </c:spPr>
          <c:marker>
            <c:spPr>
              <a:ln>
                <a:solidFill>
                  <a:srgbClr val="008000"/>
                </a:solidFill>
              </a:ln>
            </c:spPr>
          </c:marker>
          <c:xVal>
            <c:numRef>
              <c:f>Sheet3!$F$1:$K$1</c:f>
              <c:numCache>
                <c:formatCode>General</c:formatCode>
                <c:ptCount val="6"/>
                <c:pt idx="0">
                  <c:v>20.0</c:v>
                </c:pt>
                <c:pt idx="1">
                  <c:v>44.0</c:v>
                </c:pt>
                <c:pt idx="2">
                  <c:v>60.0</c:v>
                </c:pt>
                <c:pt idx="3">
                  <c:v>75.0</c:v>
                </c:pt>
                <c:pt idx="4">
                  <c:v>100.0</c:v>
                </c:pt>
                <c:pt idx="5">
                  <c:v>125.0</c:v>
                </c:pt>
              </c:numCache>
            </c:numRef>
          </c:xVal>
          <c:yVal>
            <c:numRef>
              <c:f>Sheet3!$F$16:$K$16</c:f>
              <c:numCache>
                <c:formatCode>0.0000</c:formatCode>
                <c:ptCount val="6"/>
                <c:pt idx="0">
                  <c:v>0.559910414333707</c:v>
                </c:pt>
                <c:pt idx="1">
                  <c:v>0.632911392405063</c:v>
                </c:pt>
                <c:pt idx="2">
                  <c:v>0.669792364367046</c:v>
                </c:pt>
                <c:pt idx="3">
                  <c:v>0.710732054015636</c:v>
                </c:pt>
                <c:pt idx="4">
                  <c:v>0.748502994011976</c:v>
                </c:pt>
                <c:pt idx="5">
                  <c:v>0.777000777000777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6529768"/>
        <c:axId val="1777293864"/>
      </c:scatterChart>
      <c:valAx>
        <c:axId val="1776529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Settling</a:t>
                </a:r>
                <a:r>
                  <a:rPr lang="en-US" baseline="0"/>
                  <a:t> Time (ns)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777293864"/>
        <c:crosses val="autoZero"/>
        <c:crossBetween val="midCat"/>
      </c:valAx>
      <c:valAx>
        <c:axId val="1777293864"/>
        <c:scaling>
          <c:orientation val="minMax"/>
          <c:min val="0.3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Settling</a:t>
                </a:r>
                <a:r>
                  <a:rPr lang="en-US" baseline="0"/>
                  <a:t> Percentage</a:t>
                </a:r>
                <a:endParaRPr lang="en-US"/>
              </a:p>
            </c:rich>
          </c:tx>
          <c:layout/>
          <c:overlay val="0"/>
        </c:title>
        <c:numFmt formatCode="0.00" sourceLinked="0"/>
        <c:majorTickMark val="none"/>
        <c:minorTickMark val="none"/>
        <c:tickLblPos val="nextTo"/>
        <c:crossAx val="17765297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4" Type="http://schemas.openxmlformats.org/officeDocument/2006/relationships/chart" Target="../charts/chart22.xml"/><Relationship Id="rId5" Type="http://schemas.openxmlformats.org/officeDocument/2006/relationships/chart" Target="../charts/chart23.xml"/><Relationship Id="rId6" Type="http://schemas.openxmlformats.org/officeDocument/2006/relationships/chart" Target="../charts/chart24.xml"/><Relationship Id="rId7" Type="http://schemas.openxmlformats.org/officeDocument/2006/relationships/chart" Target="../charts/chart25.xml"/><Relationship Id="rId8" Type="http://schemas.openxmlformats.org/officeDocument/2006/relationships/chart" Target="../charts/chart26.xml"/><Relationship Id="rId9" Type="http://schemas.openxmlformats.org/officeDocument/2006/relationships/chart" Target="../charts/chart27.xml"/><Relationship Id="rId10" Type="http://schemas.openxmlformats.org/officeDocument/2006/relationships/chart" Target="../charts/chart28.xml"/><Relationship Id="rId1" Type="http://schemas.openxmlformats.org/officeDocument/2006/relationships/chart" Target="../charts/chart19.xml"/><Relationship Id="rId2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511174</xdr:colOff>
      <xdr:row>3</xdr:row>
      <xdr:rowOff>55562</xdr:rowOff>
    </xdr:from>
    <xdr:to>
      <xdr:col>21</xdr:col>
      <xdr:colOff>196849</xdr:colOff>
      <xdr:row>25</xdr:row>
      <xdr:rowOff>127000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101600</xdr:colOff>
      <xdr:row>11</xdr:row>
      <xdr:rowOff>9525</xdr:rowOff>
    </xdr:from>
    <xdr:to>
      <xdr:col>7</xdr:col>
      <xdr:colOff>406400</xdr:colOff>
      <xdr:row>25</xdr:row>
      <xdr:rowOff>85725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254000</xdr:colOff>
      <xdr:row>29</xdr:row>
      <xdr:rowOff>120650</xdr:rowOff>
    </xdr:from>
    <xdr:to>
      <xdr:col>17</xdr:col>
      <xdr:colOff>177800</xdr:colOff>
      <xdr:row>53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46</xdr:row>
      <xdr:rowOff>158750</xdr:rowOff>
    </xdr:from>
    <xdr:to>
      <xdr:col>6</xdr:col>
      <xdr:colOff>787400</xdr:colOff>
      <xdr:row>69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889000</xdr:colOff>
      <xdr:row>46</xdr:row>
      <xdr:rowOff>146050</xdr:rowOff>
    </xdr:from>
    <xdr:to>
      <xdr:col>14</xdr:col>
      <xdr:colOff>190500</xdr:colOff>
      <xdr:row>70</xdr:row>
      <xdr:rowOff>50800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469900</xdr:colOff>
      <xdr:row>46</xdr:row>
      <xdr:rowOff>146050</xdr:rowOff>
    </xdr:from>
    <xdr:to>
      <xdr:col>21</xdr:col>
      <xdr:colOff>749300</xdr:colOff>
      <xdr:row>70</xdr:row>
      <xdr:rowOff>50800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22</xdr:row>
      <xdr:rowOff>120650</xdr:rowOff>
    </xdr:from>
    <xdr:to>
      <xdr:col>7</xdr:col>
      <xdr:colOff>596900</xdr:colOff>
      <xdr:row>44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736600</xdr:colOff>
      <xdr:row>22</xdr:row>
      <xdr:rowOff>114300</xdr:rowOff>
    </xdr:from>
    <xdr:to>
      <xdr:col>16</xdr:col>
      <xdr:colOff>393700</xdr:colOff>
      <xdr:row>44</xdr:row>
      <xdr:rowOff>120650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47</xdr:row>
      <xdr:rowOff>0</xdr:rowOff>
    </xdr:from>
    <xdr:to>
      <xdr:col>7</xdr:col>
      <xdr:colOff>482600</xdr:colOff>
      <xdr:row>69</xdr:row>
      <xdr:rowOff>6350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47</xdr:row>
      <xdr:rowOff>0</xdr:rowOff>
    </xdr:from>
    <xdr:to>
      <xdr:col>16</xdr:col>
      <xdr:colOff>482600</xdr:colOff>
      <xdr:row>69</xdr:row>
      <xdr:rowOff>6350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165100</xdr:colOff>
      <xdr:row>92</xdr:row>
      <xdr:rowOff>107950</xdr:rowOff>
    </xdr:from>
    <xdr:to>
      <xdr:col>8</xdr:col>
      <xdr:colOff>342900</xdr:colOff>
      <xdr:row>115</xdr:row>
      <xdr:rowOff>88900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92</xdr:row>
      <xdr:rowOff>114300</xdr:rowOff>
    </xdr:from>
    <xdr:to>
      <xdr:col>17</xdr:col>
      <xdr:colOff>177800</xdr:colOff>
      <xdr:row>115</xdr:row>
      <xdr:rowOff>95250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139700</xdr:colOff>
      <xdr:row>117</xdr:row>
      <xdr:rowOff>0</xdr:rowOff>
    </xdr:from>
    <xdr:to>
      <xdr:col>8</xdr:col>
      <xdr:colOff>317500</xdr:colOff>
      <xdr:row>139</xdr:row>
      <xdr:rowOff>158750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117</xdr:row>
      <xdr:rowOff>38100</xdr:rowOff>
    </xdr:from>
    <xdr:to>
      <xdr:col>17</xdr:col>
      <xdr:colOff>177800</xdr:colOff>
      <xdr:row>140</xdr:row>
      <xdr:rowOff>19050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127000</xdr:colOff>
      <xdr:row>141</xdr:row>
      <xdr:rowOff>0</xdr:rowOff>
    </xdr:from>
    <xdr:to>
      <xdr:col>8</xdr:col>
      <xdr:colOff>304800</xdr:colOff>
      <xdr:row>163</xdr:row>
      <xdr:rowOff>158750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101600</xdr:colOff>
      <xdr:row>0</xdr:row>
      <xdr:rowOff>139700</xdr:rowOff>
    </xdr:from>
    <xdr:to>
      <xdr:col>22</xdr:col>
      <xdr:colOff>215900</xdr:colOff>
      <xdr:row>34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101600</xdr:colOff>
      <xdr:row>28</xdr:row>
      <xdr:rowOff>44450</xdr:rowOff>
    </xdr:from>
    <xdr:to>
      <xdr:col>11</xdr:col>
      <xdr:colOff>596900</xdr:colOff>
      <xdr:row>53</xdr:row>
      <xdr:rowOff>165100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241300</xdr:colOff>
      <xdr:row>33</xdr:row>
      <xdr:rowOff>0</xdr:rowOff>
    </xdr:from>
    <xdr:to>
      <xdr:col>17</xdr:col>
      <xdr:colOff>660400</xdr:colOff>
      <xdr:row>53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558800</xdr:colOff>
      <xdr:row>37</xdr:row>
      <xdr:rowOff>19050</xdr:rowOff>
    </xdr:from>
    <xdr:to>
      <xdr:col>7</xdr:col>
      <xdr:colOff>1193800</xdr:colOff>
      <xdr:row>58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88900</xdr:colOff>
      <xdr:row>37</xdr:row>
      <xdr:rowOff>50800</xdr:rowOff>
    </xdr:from>
    <xdr:to>
      <xdr:col>19</xdr:col>
      <xdr:colOff>558800</xdr:colOff>
      <xdr:row>58</xdr:row>
      <xdr:rowOff>146050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55</xdr:row>
      <xdr:rowOff>0</xdr:rowOff>
    </xdr:from>
    <xdr:to>
      <xdr:col>7</xdr:col>
      <xdr:colOff>635000</xdr:colOff>
      <xdr:row>76</xdr:row>
      <xdr:rowOff>95250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1041400</xdr:colOff>
      <xdr:row>55</xdr:row>
      <xdr:rowOff>127000</xdr:rowOff>
    </xdr:from>
    <xdr:to>
      <xdr:col>18</xdr:col>
      <xdr:colOff>25400</xdr:colOff>
      <xdr:row>76</xdr:row>
      <xdr:rowOff>222250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78</xdr:row>
      <xdr:rowOff>0</xdr:rowOff>
    </xdr:from>
    <xdr:to>
      <xdr:col>7</xdr:col>
      <xdr:colOff>635000</xdr:colOff>
      <xdr:row>99</xdr:row>
      <xdr:rowOff>95250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1003300</xdr:colOff>
      <xdr:row>78</xdr:row>
      <xdr:rowOff>0</xdr:rowOff>
    </xdr:from>
    <xdr:to>
      <xdr:col>17</xdr:col>
      <xdr:colOff>812800</xdr:colOff>
      <xdr:row>99</xdr:row>
      <xdr:rowOff>95250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647700</xdr:colOff>
      <xdr:row>30</xdr:row>
      <xdr:rowOff>203200</xdr:rowOff>
    </xdr:from>
    <xdr:to>
      <xdr:col>30</xdr:col>
      <xdr:colOff>292100</xdr:colOff>
      <xdr:row>52</xdr:row>
      <xdr:rowOff>69850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21</xdr:col>
      <xdr:colOff>596900</xdr:colOff>
      <xdr:row>61</xdr:row>
      <xdr:rowOff>38100</xdr:rowOff>
    </xdr:from>
    <xdr:to>
      <xdr:col>31</xdr:col>
      <xdr:colOff>241300</xdr:colOff>
      <xdr:row>82</xdr:row>
      <xdr:rowOff>133350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22</xdr:col>
      <xdr:colOff>0</xdr:colOff>
      <xdr:row>88</xdr:row>
      <xdr:rowOff>0</xdr:rowOff>
    </xdr:from>
    <xdr:to>
      <xdr:col>31</xdr:col>
      <xdr:colOff>469900</xdr:colOff>
      <xdr:row>109</xdr:row>
      <xdr:rowOff>95250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31</xdr:col>
      <xdr:colOff>38100</xdr:colOff>
      <xdr:row>42</xdr:row>
      <xdr:rowOff>44450</xdr:rowOff>
    </xdr:from>
    <xdr:to>
      <xdr:col>40</xdr:col>
      <xdr:colOff>152400</xdr:colOff>
      <xdr:row>63</xdr:row>
      <xdr:rowOff>139700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topLeftCell="A5" workbookViewId="0">
      <selection activeCell="D33" sqref="D33"/>
    </sheetView>
  </sheetViews>
  <sheetFormatPr baseColWidth="10" defaultColWidth="8.83203125" defaultRowHeight="14" x14ac:dyDescent="0"/>
  <sheetData>
    <row r="1" spans="1:10">
      <c r="A1" t="s">
        <v>4</v>
      </c>
      <c r="B1" t="s">
        <v>0</v>
      </c>
      <c r="C1" t="s">
        <v>1</v>
      </c>
      <c r="D1" t="s">
        <v>2</v>
      </c>
      <c r="E1" t="s">
        <v>3</v>
      </c>
      <c r="G1" t="s">
        <v>0</v>
      </c>
      <c r="H1" t="s">
        <v>1</v>
      </c>
      <c r="I1" t="s">
        <v>2</v>
      </c>
      <c r="J1" t="s">
        <v>3</v>
      </c>
    </row>
    <row r="2" spans="1:10">
      <c r="A2">
        <v>20</v>
      </c>
      <c r="B2">
        <f>1/2.232</f>
        <v>0.4480286738351254</v>
      </c>
      <c r="C2">
        <f>1/2.085</f>
        <v>0.47961630695443647</v>
      </c>
      <c r="D2">
        <f>1/1.873</f>
        <v>0.53390282968499736</v>
      </c>
      <c r="E2">
        <f>1/1.643</f>
        <v>0.60864272671941566</v>
      </c>
    </row>
    <row r="3" spans="1:10">
      <c r="A3">
        <v>40</v>
      </c>
      <c r="B3">
        <v>0.55869999999999997</v>
      </c>
      <c r="C3">
        <f>1/1.79</f>
        <v>0.55865921787709494</v>
      </c>
      <c r="D3">
        <f>1/1.686</f>
        <v>0.59311981020166071</v>
      </c>
      <c r="E3">
        <f>1/1.567</f>
        <v>0.63816209317166561</v>
      </c>
      <c r="G3">
        <f>(B3-B2)/(A3-A2)</f>
        <v>5.5335663082437285E-3</v>
      </c>
      <c r="H3">
        <f>(C3-C2)/(A3-A2)</f>
        <v>3.9521455461329234E-3</v>
      </c>
      <c r="I3">
        <f>(D3-D2)/(A3-A2)</f>
        <v>2.9608490258331678E-3</v>
      </c>
      <c r="J3">
        <f>(E3-E2)/(A3-A2)</f>
        <v>1.4759683226124975E-3</v>
      </c>
    </row>
    <row r="4" spans="1:10">
      <c r="A4">
        <v>60</v>
      </c>
      <c r="B4">
        <f>1/1.528</f>
        <v>0.65445026178010468</v>
      </c>
      <c r="C4">
        <f>1/1.57</f>
        <v>0.63694267515923564</v>
      </c>
      <c r="D4">
        <f>1/1.559</f>
        <v>0.64143681847338041</v>
      </c>
      <c r="E4">
        <f>1/1.493</f>
        <v>0.66979236436704614</v>
      </c>
      <c r="G4">
        <f>(B4-B3)/(A4-A3)</f>
        <v>4.7875130890052357E-3</v>
      </c>
      <c r="H4">
        <f>(C4-C3)/(A4-A3)</f>
        <v>3.9141728641070347E-3</v>
      </c>
      <c r="I4">
        <f>(D4-D3)/(A4-A3)</f>
        <v>2.4158504135859847E-3</v>
      </c>
      <c r="J4">
        <f>(E4-E3)/(A4-A3)</f>
        <v>1.5815135597690266E-3</v>
      </c>
    </row>
    <row r="6" spans="1:10">
      <c r="A6" t="s">
        <v>4</v>
      </c>
      <c r="B6" t="s">
        <v>0</v>
      </c>
      <c r="C6" t="s">
        <v>1</v>
      </c>
      <c r="D6" t="s">
        <v>2</v>
      </c>
      <c r="E6" t="s">
        <v>3</v>
      </c>
      <c r="F6" t="s">
        <v>5</v>
      </c>
      <c r="G6" t="s">
        <v>0</v>
      </c>
      <c r="H6" t="s">
        <v>1</v>
      </c>
      <c r="I6" t="s">
        <v>2</v>
      </c>
      <c r="J6" t="s">
        <v>3</v>
      </c>
    </row>
    <row r="7" spans="1:10">
      <c r="A7">
        <v>50</v>
      </c>
      <c r="B7">
        <f>1/1.566</f>
        <v>0.63856960408684549</v>
      </c>
      <c r="C7">
        <f>1/1.564</f>
        <v>0.63938618925831203</v>
      </c>
      <c r="D7">
        <f>1/1.536</f>
        <v>0.65104166666666663</v>
      </c>
      <c r="E7">
        <f>1/1.477</f>
        <v>0.6770480704129993</v>
      </c>
    </row>
    <row r="8" spans="1:10">
      <c r="A8">
        <v>75</v>
      </c>
      <c r="B8">
        <f>1/1.409</f>
        <v>0.70972320794889987</v>
      </c>
      <c r="C8">
        <f>1/1.437</f>
        <v>0.6958942240779401</v>
      </c>
      <c r="D8">
        <f>1/1.435</f>
        <v>0.69686411149825778</v>
      </c>
      <c r="E8">
        <f>1/1.415</f>
        <v>0.70671378091872794</v>
      </c>
      <c r="G8">
        <f>(B8-B7)/(A8-A7)</f>
        <v>2.8461441544821754E-3</v>
      </c>
      <c r="H8">
        <f>(C8-C7)/(A8-A7)</f>
        <v>2.260321392785123E-3</v>
      </c>
      <c r="I8">
        <f>(D8-D7)/(A8-A7)</f>
        <v>1.832897793263646E-3</v>
      </c>
      <c r="J8">
        <f>(E8-E7)/(A8-A7)</f>
        <v>1.1866284202291454E-3</v>
      </c>
    </row>
    <row r="9" spans="1:10">
      <c r="A9">
        <v>100</v>
      </c>
      <c r="B9">
        <f>1/1.312</f>
        <v>0.76219512195121952</v>
      </c>
      <c r="C9">
        <f>1/1.35</f>
        <v>0.7407407407407407</v>
      </c>
      <c r="D9">
        <f>1/1.367</f>
        <v>0.73152889539136801</v>
      </c>
      <c r="E9">
        <f>1/1.368</f>
        <v>0.73099415204678353</v>
      </c>
      <c r="G9">
        <f>(B9-B8)/(A9-A8)</f>
        <v>2.0988765600927859E-3</v>
      </c>
      <c r="H9">
        <f>(C9-C8)/(A9-A8)</f>
        <v>1.7938606665120237E-3</v>
      </c>
      <c r="I9">
        <f>(D9-D8)/(A9-A8)</f>
        <v>1.3865913557244091E-3</v>
      </c>
      <c r="J9">
        <f>(E9-E8)/(A9-A8)</f>
        <v>9.7121484512222359E-4</v>
      </c>
    </row>
    <row r="10" spans="1:10">
      <c r="A10">
        <v>125</v>
      </c>
      <c r="B10">
        <f>1/1.254</f>
        <v>0.79744816586921852</v>
      </c>
      <c r="C10">
        <f>1/1.292</f>
        <v>0.77399380804953555</v>
      </c>
      <c r="D10">
        <f>1/1.315</f>
        <v>0.76045627376425862</v>
      </c>
      <c r="E10">
        <f>1/1.33</f>
        <v>0.75187969924812026</v>
      </c>
      <c r="G10">
        <f>(B10-B9)/(A10-A9)</f>
        <v>1.4101217567199598E-3</v>
      </c>
      <c r="H10">
        <f>(C10-C9)/(A10-A9)</f>
        <v>1.3301226923517939E-3</v>
      </c>
      <c r="I10">
        <f>(D10-D9)/(A10-A9)</f>
        <v>1.1570951349156244E-3</v>
      </c>
      <c r="J10">
        <f>(E10-E9)/(A10-A9)</f>
        <v>8.3542188805346912E-4</v>
      </c>
    </row>
    <row r="36" spans="1:5">
      <c r="A36" t="s">
        <v>4</v>
      </c>
      <c r="B36" t="s">
        <v>0</v>
      </c>
      <c r="C36" t="s">
        <v>1</v>
      </c>
      <c r="D36" t="s">
        <v>2</v>
      </c>
      <c r="E36" t="s">
        <v>3</v>
      </c>
    </row>
    <row r="37" spans="1:5">
      <c r="A37">
        <v>20</v>
      </c>
      <c r="B37">
        <f>1/2.232</f>
        <v>0.4480286738351254</v>
      </c>
      <c r="C37">
        <f>1/2.085</f>
        <v>0.47961630695443647</v>
      </c>
      <c r="D37">
        <f>1/1.873</f>
        <v>0.53390282968499736</v>
      </c>
      <c r="E37">
        <f>1/1.643</f>
        <v>0.60864272671941566</v>
      </c>
    </row>
    <row r="38" spans="1:5">
      <c r="A38">
        <v>40</v>
      </c>
      <c r="B38">
        <v>0.55869999999999997</v>
      </c>
      <c r="C38">
        <f>1/1.79</f>
        <v>0.55865921787709494</v>
      </c>
      <c r="D38">
        <f>1/1.686</f>
        <v>0.59311981020166071</v>
      </c>
      <c r="E38">
        <f>1/1.567</f>
        <v>0.63816209317166561</v>
      </c>
    </row>
    <row r="39" spans="1:5">
      <c r="A39">
        <v>60</v>
      </c>
      <c r="B39">
        <f>1/1.528</f>
        <v>0.65445026178010468</v>
      </c>
      <c r="C39">
        <f>1/1.57</f>
        <v>0.63694267515923564</v>
      </c>
      <c r="D39">
        <f>1/1.559</f>
        <v>0.64143681847338041</v>
      </c>
      <c r="E39">
        <f>1/1.493</f>
        <v>0.66979236436704614</v>
      </c>
    </row>
    <row r="40" spans="1:5">
      <c r="A40">
        <v>75</v>
      </c>
      <c r="B40">
        <f>1/1.409</f>
        <v>0.70972320794889987</v>
      </c>
      <c r="C40">
        <f>1/1.437</f>
        <v>0.6958942240779401</v>
      </c>
      <c r="D40">
        <f>1/1.435</f>
        <v>0.69686411149825778</v>
      </c>
      <c r="E40">
        <f>1/1.415</f>
        <v>0.70671378091872794</v>
      </c>
    </row>
    <row r="41" spans="1:5">
      <c r="A41">
        <v>100</v>
      </c>
      <c r="B41">
        <f>1/1.312</f>
        <v>0.76219512195121952</v>
      </c>
      <c r="C41">
        <f>1/1.35</f>
        <v>0.7407407407407407</v>
      </c>
      <c r="D41">
        <f>1/1.367</f>
        <v>0.73152889539136801</v>
      </c>
      <c r="E41">
        <f>1/1.368</f>
        <v>0.73099415204678353</v>
      </c>
    </row>
    <row r="42" spans="1:5">
      <c r="A42">
        <v>125</v>
      </c>
      <c r="B42">
        <f>1/1.254</f>
        <v>0.79744816586921852</v>
      </c>
      <c r="C42">
        <f>1/1.292</f>
        <v>0.77399380804953555</v>
      </c>
      <c r="D42">
        <f>1/1.315</f>
        <v>0.76045627376425862</v>
      </c>
      <c r="E42">
        <f>1/1.33</f>
        <v>0.75187969924812026</v>
      </c>
    </row>
  </sheetData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5"/>
  <sheetViews>
    <sheetView tabSelected="1" topLeftCell="E30" workbookViewId="0">
      <selection activeCell="J3" sqref="J3"/>
    </sheetView>
  </sheetViews>
  <sheetFormatPr baseColWidth="10" defaultRowHeight="14" x14ac:dyDescent="0"/>
  <cols>
    <col min="5" max="5" width="10.5" customWidth="1"/>
    <col min="6" max="6" width="17" customWidth="1"/>
    <col min="7" max="7" width="12.6640625" customWidth="1"/>
    <col min="8" max="8" width="15.1640625" customWidth="1"/>
    <col min="9" max="9" width="13.5" customWidth="1"/>
    <col min="11" max="11" width="13" customWidth="1"/>
    <col min="13" max="13" width="14.5" customWidth="1"/>
  </cols>
  <sheetData>
    <row r="1" spans="1:13">
      <c r="A1" t="s">
        <v>6</v>
      </c>
    </row>
    <row r="2" spans="1:13" ht="29" customHeight="1">
      <c r="A2" s="2" t="s">
        <v>7</v>
      </c>
      <c r="B2" s="2" t="s">
        <v>8</v>
      </c>
      <c r="C2" s="2" t="s">
        <v>9</v>
      </c>
      <c r="D2" s="2" t="s">
        <v>10</v>
      </c>
      <c r="E2" s="2" t="s">
        <v>11</v>
      </c>
      <c r="F2" s="2" t="s">
        <v>12</v>
      </c>
      <c r="G2" s="2" t="s">
        <v>19</v>
      </c>
      <c r="H2" s="2" t="s">
        <v>13</v>
      </c>
      <c r="I2" s="1" t="s">
        <v>18</v>
      </c>
      <c r="J2" s="1" t="s">
        <v>14</v>
      </c>
      <c r="K2" s="2" t="s">
        <v>16</v>
      </c>
      <c r="L2" s="2" t="s">
        <v>15</v>
      </c>
      <c r="M2" s="2" t="s">
        <v>17</v>
      </c>
    </row>
    <row r="3" spans="1:13">
      <c r="A3">
        <v>0.9</v>
      </c>
      <c r="B3">
        <f>1.8*A3</f>
        <v>1.62</v>
      </c>
      <c r="C3">
        <f>3.3*A3</f>
        <v>2.9699999999999998</v>
      </c>
      <c r="D3">
        <f>3.2*A3</f>
        <v>2.8800000000000003</v>
      </c>
      <c r="E3" t="s">
        <v>0</v>
      </c>
      <c r="F3">
        <v>1.9419999999999999</v>
      </c>
      <c r="G3" s="16">
        <f>1/F3</f>
        <v>0.51493305870236872</v>
      </c>
      <c r="H3">
        <v>0.23499999999999999</v>
      </c>
      <c r="I3">
        <f t="shared" ref="I3:I22" si="0">H3*F3</f>
        <v>0.45636999999999994</v>
      </c>
      <c r="J3">
        <v>0.215</v>
      </c>
      <c r="K3" s="16">
        <f t="shared" ref="K3:K22" si="1">J3*F3</f>
        <v>0.41752999999999996</v>
      </c>
      <c r="L3" s="18">
        <v>0.26</v>
      </c>
      <c r="M3" s="16">
        <f t="shared" ref="M3:M22" si="2">L3*F3</f>
        <v>0.50492000000000004</v>
      </c>
    </row>
    <row r="4" spans="1:13">
      <c r="E4" t="s">
        <v>1</v>
      </c>
      <c r="F4">
        <v>1.948</v>
      </c>
      <c r="G4" s="16">
        <f t="shared" ref="G4:G22" si="3">1/F4</f>
        <v>0.51334702258726905</v>
      </c>
      <c r="H4">
        <v>0.23499999999999999</v>
      </c>
      <c r="I4">
        <f t="shared" si="0"/>
        <v>0.45777999999999996</v>
      </c>
      <c r="J4">
        <v>0.185</v>
      </c>
      <c r="K4" s="16">
        <f t="shared" si="1"/>
        <v>0.36037999999999998</v>
      </c>
      <c r="L4" s="18">
        <v>0.26500000000000001</v>
      </c>
      <c r="M4" s="16">
        <f t="shared" si="2"/>
        <v>0.51622000000000001</v>
      </c>
    </row>
    <row r="5" spans="1:13">
      <c r="E5" t="s">
        <v>2</v>
      </c>
      <c r="F5">
        <v>1.893</v>
      </c>
      <c r="G5" s="16">
        <f t="shared" si="3"/>
        <v>0.52826201796090866</v>
      </c>
      <c r="H5">
        <v>0.22500000000000001</v>
      </c>
      <c r="I5">
        <f t="shared" si="0"/>
        <v>0.425925</v>
      </c>
      <c r="J5">
        <v>0.255</v>
      </c>
      <c r="K5" s="16">
        <f t="shared" si="1"/>
        <v>0.48271500000000001</v>
      </c>
      <c r="L5" s="18">
        <v>0.26</v>
      </c>
      <c r="M5" s="16">
        <f t="shared" si="2"/>
        <v>0.49218000000000001</v>
      </c>
    </row>
    <row r="6" spans="1:13">
      <c r="E6" t="s">
        <v>3</v>
      </c>
      <c r="F6">
        <v>1.762</v>
      </c>
      <c r="G6" s="16">
        <f t="shared" si="3"/>
        <v>0.56753688989784334</v>
      </c>
      <c r="H6">
        <v>0.23499999999999999</v>
      </c>
      <c r="I6">
        <f t="shared" si="0"/>
        <v>0.41406999999999999</v>
      </c>
      <c r="J6">
        <v>0.28499999999999998</v>
      </c>
      <c r="K6" s="16">
        <f t="shared" si="1"/>
        <v>0.50217000000000001</v>
      </c>
      <c r="L6" s="18">
        <v>0.27300000000000002</v>
      </c>
      <c r="M6" s="16">
        <f t="shared" si="2"/>
        <v>0.48102600000000006</v>
      </c>
    </row>
    <row r="7" spans="1:13">
      <c r="A7">
        <v>0.95</v>
      </c>
      <c r="B7">
        <f t="shared" ref="B7:B11" si="4">1.8*A7</f>
        <v>1.71</v>
      </c>
      <c r="C7">
        <f t="shared" ref="C7:C11" si="5">3.3*A7</f>
        <v>3.1349999999999998</v>
      </c>
      <c r="D7">
        <f t="shared" ref="D7:D11" si="6">3.2*A7</f>
        <v>3.04</v>
      </c>
      <c r="E7" t="s">
        <v>0</v>
      </c>
      <c r="F7">
        <v>1.7989999999999999</v>
      </c>
      <c r="G7" s="16">
        <f t="shared" si="3"/>
        <v>0.5558643690939411</v>
      </c>
      <c r="H7">
        <v>0.23</v>
      </c>
      <c r="I7">
        <f t="shared" si="0"/>
        <v>0.41377000000000003</v>
      </c>
      <c r="J7">
        <v>0.26</v>
      </c>
      <c r="K7" s="16">
        <f t="shared" si="1"/>
        <v>0.46773999999999999</v>
      </c>
      <c r="L7" s="18">
        <v>0.27500000000000002</v>
      </c>
      <c r="M7" s="16">
        <f t="shared" si="2"/>
        <v>0.49472500000000003</v>
      </c>
    </row>
    <row r="8" spans="1:13">
      <c r="E8" t="s">
        <v>1</v>
      </c>
      <c r="F8">
        <v>1.8009999999999999</v>
      </c>
      <c r="G8" s="16">
        <f t="shared" si="3"/>
        <v>0.55524708495280406</v>
      </c>
      <c r="H8">
        <v>0.23</v>
      </c>
      <c r="I8">
        <f t="shared" si="0"/>
        <v>0.41422999999999999</v>
      </c>
      <c r="J8">
        <v>0.24</v>
      </c>
      <c r="K8" s="16">
        <f t="shared" si="1"/>
        <v>0.43223999999999996</v>
      </c>
      <c r="L8" s="18">
        <v>0.26500000000000001</v>
      </c>
      <c r="M8" s="16">
        <f t="shared" si="2"/>
        <v>0.47726499999999999</v>
      </c>
    </row>
    <row r="9" spans="1:13">
      <c r="E9" t="s">
        <v>2</v>
      </c>
      <c r="F9">
        <v>1.752</v>
      </c>
      <c r="G9" s="16">
        <f t="shared" si="3"/>
        <v>0.57077625570776258</v>
      </c>
      <c r="H9">
        <v>0.23</v>
      </c>
      <c r="I9">
        <f t="shared" si="0"/>
        <v>0.40296000000000004</v>
      </c>
      <c r="J9">
        <v>0.26500000000000001</v>
      </c>
      <c r="K9" s="16">
        <f t="shared" si="1"/>
        <v>0.46428000000000003</v>
      </c>
      <c r="L9" s="18">
        <v>0.28000000000000003</v>
      </c>
      <c r="M9" s="16">
        <f t="shared" si="2"/>
        <v>0.49056000000000005</v>
      </c>
    </row>
    <row r="10" spans="1:13">
      <c r="E10" t="s">
        <v>3</v>
      </c>
      <c r="F10">
        <v>1.633</v>
      </c>
      <c r="G10" s="16">
        <f t="shared" si="3"/>
        <v>0.61236987140232702</v>
      </c>
      <c r="H10">
        <v>0.24</v>
      </c>
      <c r="I10">
        <f t="shared" si="0"/>
        <v>0.39191999999999999</v>
      </c>
      <c r="J10">
        <v>0.25</v>
      </c>
      <c r="K10" s="16">
        <f t="shared" si="1"/>
        <v>0.40825</v>
      </c>
      <c r="L10" s="18">
        <v>0.28000000000000003</v>
      </c>
      <c r="M10" s="16">
        <f t="shared" si="2"/>
        <v>0.45724000000000004</v>
      </c>
    </row>
    <row r="11" spans="1:13">
      <c r="A11">
        <v>1</v>
      </c>
      <c r="B11">
        <f t="shared" si="4"/>
        <v>1.8</v>
      </c>
      <c r="C11">
        <f t="shared" si="5"/>
        <v>3.3</v>
      </c>
      <c r="D11">
        <f t="shared" si="6"/>
        <v>3.2</v>
      </c>
      <c r="E11" t="s">
        <v>0</v>
      </c>
      <c r="F11">
        <v>1.706</v>
      </c>
      <c r="G11" s="16">
        <f t="shared" si="3"/>
        <v>0.58616647127784294</v>
      </c>
      <c r="H11">
        <v>0.23499999999999999</v>
      </c>
      <c r="I11">
        <f t="shared" si="0"/>
        <v>0.40090999999999999</v>
      </c>
      <c r="J11">
        <v>0.25</v>
      </c>
      <c r="K11" s="16">
        <f t="shared" si="1"/>
        <v>0.42649999999999999</v>
      </c>
      <c r="L11" s="18">
        <v>0.26500000000000001</v>
      </c>
      <c r="M11" s="16">
        <f t="shared" si="2"/>
        <v>0.45208999999999999</v>
      </c>
    </row>
    <row r="12" spans="1:13">
      <c r="E12" t="s">
        <v>1</v>
      </c>
      <c r="F12">
        <v>1.708</v>
      </c>
      <c r="G12" s="16">
        <f t="shared" si="3"/>
        <v>0.58548009367681497</v>
      </c>
      <c r="H12">
        <v>0.23499999999999999</v>
      </c>
      <c r="I12">
        <f t="shared" si="0"/>
        <v>0.40137999999999996</v>
      </c>
      <c r="J12">
        <v>0.23499999999999999</v>
      </c>
      <c r="K12" s="16">
        <f t="shared" si="1"/>
        <v>0.40137999999999996</v>
      </c>
      <c r="L12" s="18">
        <v>0.26500000000000001</v>
      </c>
      <c r="M12" s="16">
        <f t="shared" si="2"/>
        <v>0.45262000000000002</v>
      </c>
    </row>
    <row r="13" spans="1:13">
      <c r="E13" t="s">
        <v>2</v>
      </c>
      <c r="F13">
        <v>1.6659999999999999</v>
      </c>
      <c r="G13" s="16">
        <f t="shared" si="3"/>
        <v>0.60024009603841544</v>
      </c>
      <c r="H13">
        <v>0.23499999999999999</v>
      </c>
      <c r="I13">
        <f t="shared" si="0"/>
        <v>0.39150999999999997</v>
      </c>
      <c r="J13">
        <v>0.26</v>
      </c>
      <c r="K13" s="16">
        <f t="shared" si="1"/>
        <v>0.43315999999999999</v>
      </c>
      <c r="L13" s="18">
        <v>0.26500000000000001</v>
      </c>
      <c r="M13" s="16">
        <f t="shared" si="2"/>
        <v>0.44148999999999999</v>
      </c>
    </row>
    <row r="14" spans="1:13">
      <c r="E14" t="s">
        <v>3</v>
      </c>
      <c r="F14">
        <v>1.5620000000000001</v>
      </c>
      <c r="G14" s="16">
        <f t="shared" si="3"/>
        <v>0.6402048655569782</v>
      </c>
      <c r="H14">
        <v>0.23499999999999999</v>
      </c>
      <c r="I14">
        <f t="shared" si="0"/>
        <v>0.36707000000000001</v>
      </c>
      <c r="J14">
        <v>0.255</v>
      </c>
      <c r="K14" s="16">
        <f t="shared" si="1"/>
        <v>0.39831</v>
      </c>
      <c r="L14" s="18">
        <v>0.28499999999999998</v>
      </c>
      <c r="M14" s="16">
        <f t="shared" si="2"/>
        <v>0.44516999999999995</v>
      </c>
    </row>
    <row r="15" spans="1:13">
      <c r="A15">
        <v>1.05</v>
      </c>
      <c r="B15">
        <f>1.8*A15</f>
        <v>1.8900000000000001</v>
      </c>
      <c r="C15">
        <f>3.3*A15</f>
        <v>3.4649999999999999</v>
      </c>
      <c r="D15">
        <f>3.2*A15</f>
        <v>3.3600000000000003</v>
      </c>
      <c r="E15" t="s">
        <v>0</v>
      </c>
      <c r="F15">
        <v>1.6439999999999999</v>
      </c>
      <c r="G15" s="16">
        <f t="shared" si="3"/>
        <v>0.6082725060827251</v>
      </c>
      <c r="H15">
        <v>0.24</v>
      </c>
      <c r="I15">
        <f t="shared" si="0"/>
        <v>0.39455999999999997</v>
      </c>
      <c r="J15">
        <v>0.26</v>
      </c>
      <c r="K15" s="16">
        <f t="shared" si="1"/>
        <v>0.42743999999999999</v>
      </c>
      <c r="L15" s="18">
        <v>0.26</v>
      </c>
      <c r="M15" s="16">
        <f t="shared" si="2"/>
        <v>0.42743999999999999</v>
      </c>
    </row>
    <row r="16" spans="1:13">
      <c r="E16" t="s">
        <v>1</v>
      </c>
      <c r="F16">
        <v>1.649</v>
      </c>
      <c r="G16" s="16">
        <f t="shared" si="3"/>
        <v>0.60642813826561548</v>
      </c>
      <c r="H16">
        <v>0.23</v>
      </c>
      <c r="I16">
        <f t="shared" si="0"/>
        <v>0.37927</v>
      </c>
      <c r="J16">
        <v>0.245</v>
      </c>
      <c r="K16" s="16">
        <f t="shared" si="1"/>
        <v>0.404005</v>
      </c>
      <c r="L16" s="18">
        <v>0.26</v>
      </c>
      <c r="M16" s="16">
        <f t="shared" si="2"/>
        <v>0.42874000000000001</v>
      </c>
    </row>
    <row r="17" spans="1:14">
      <c r="E17" t="s">
        <v>2</v>
      </c>
      <c r="F17">
        <v>1.6160000000000001</v>
      </c>
      <c r="G17" s="16">
        <f t="shared" si="3"/>
        <v>0.61881188118811881</v>
      </c>
      <c r="H17">
        <v>0.23499999999999999</v>
      </c>
      <c r="I17">
        <f t="shared" si="0"/>
        <v>0.37975999999999999</v>
      </c>
      <c r="J17">
        <v>0.26</v>
      </c>
      <c r="K17" s="16">
        <f t="shared" si="1"/>
        <v>0.42016000000000003</v>
      </c>
      <c r="L17" s="18">
        <v>0.26</v>
      </c>
      <c r="M17" s="16">
        <f t="shared" si="2"/>
        <v>0.42016000000000003</v>
      </c>
    </row>
    <row r="18" spans="1:14">
      <c r="E18" t="s">
        <v>3</v>
      </c>
      <c r="F18">
        <v>1.524</v>
      </c>
      <c r="G18" s="16">
        <f t="shared" si="3"/>
        <v>0.65616797900262469</v>
      </c>
      <c r="H18">
        <v>0.24</v>
      </c>
      <c r="I18">
        <f t="shared" si="0"/>
        <v>0.36575999999999997</v>
      </c>
      <c r="J18">
        <v>0.25</v>
      </c>
      <c r="K18" s="16">
        <f t="shared" si="1"/>
        <v>0.38100000000000001</v>
      </c>
      <c r="L18" s="18">
        <v>0.24</v>
      </c>
      <c r="M18" s="16">
        <f t="shared" si="2"/>
        <v>0.36575999999999997</v>
      </c>
    </row>
    <row r="19" spans="1:14">
      <c r="A19">
        <v>1.1000000000000001</v>
      </c>
      <c r="B19">
        <f>1.8*A19</f>
        <v>1.9800000000000002</v>
      </c>
      <c r="C19">
        <f>3.3*A19</f>
        <v>3.63</v>
      </c>
      <c r="D19">
        <f>3.2*A19</f>
        <v>3.5200000000000005</v>
      </c>
      <c r="E19" t="s">
        <v>0</v>
      </c>
      <c r="F19">
        <v>1.5980000000000001</v>
      </c>
      <c r="G19" s="16">
        <f t="shared" si="3"/>
        <v>0.62578222778473092</v>
      </c>
      <c r="H19">
        <v>0.23</v>
      </c>
      <c r="I19">
        <f t="shared" si="0"/>
        <v>0.36754000000000003</v>
      </c>
      <c r="J19">
        <v>0.28000000000000003</v>
      </c>
      <c r="K19" s="16">
        <f t="shared" si="1"/>
        <v>0.44744000000000006</v>
      </c>
      <c r="L19" s="18">
        <v>0.26</v>
      </c>
      <c r="M19" s="16">
        <f t="shared" si="2"/>
        <v>0.41548000000000002</v>
      </c>
    </row>
    <row r="20" spans="1:14">
      <c r="E20" t="s">
        <v>1</v>
      </c>
      <c r="F20">
        <v>1.607</v>
      </c>
      <c r="G20" s="16">
        <f t="shared" si="3"/>
        <v>0.62227753578095835</v>
      </c>
      <c r="H20">
        <v>0.22500000000000001</v>
      </c>
      <c r="I20">
        <f t="shared" si="0"/>
        <v>0.36157499999999998</v>
      </c>
      <c r="J20">
        <v>0.26</v>
      </c>
      <c r="K20" s="16">
        <f t="shared" si="1"/>
        <v>0.41782000000000002</v>
      </c>
      <c r="L20" s="18">
        <v>0.24</v>
      </c>
      <c r="M20" s="16">
        <f t="shared" si="2"/>
        <v>0.38567999999999997</v>
      </c>
    </row>
    <row r="21" spans="1:14">
      <c r="E21" t="s">
        <v>2</v>
      </c>
      <c r="F21">
        <v>1.58</v>
      </c>
      <c r="G21" s="16">
        <f t="shared" si="3"/>
        <v>0.63291139240506322</v>
      </c>
      <c r="H21">
        <v>0.24</v>
      </c>
      <c r="I21">
        <f t="shared" si="0"/>
        <v>0.37919999999999998</v>
      </c>
      <c r="J21">
        <v>0.26</v>
      </c>
      <c r="K21" s="16">
        <f t="shared" si="1"/>
        <v>0.41080000000000005</v>
      </c>
      <c r="L21" s="18">
        <v>0.22</v>
      </c>
      <c r="M21" s="16">
        <f t="shared" si="2"/>
        <v>0.34760000000000002</v>
      </c>
    </row>
    <row r="22" spans="1:14">
      <c r="E22" t="s">
        <v>3</v>
      </c>
      <c r="F22">
        <v>1.498</v>
      </c>
      <c r="G22" s="16">
        <f t="shared" si="3"/>
        <v>0.66755674232309747</v>
      </c>
      <c r="H22">
        <v>0.245</v>
      </c>
      <c r="I22">
        <f t="shared" si="0"/>
        <v>0.36701</v>
      </c>
      <c r="J22">
        <v>0.24</v>
      </c>
      <c r="K22" s="16">
        <f t="shared" si="1"/>
        <v>0.35952000000000001</v>
      </c>
      <c r="L22" s="18">
        <v>0.245</v>
      </c>
      <c r="M22" s="16">
        <f t="shared" si="2"/>
        <v>0.36701</v>
      </c>
    </row>
    <row r="25" spans="1:14" ht="28">
      <c r="A25" s="2" t="s">
        <v>7</v>
      </c>
      <c r="B25" s="2" t="s">
        <v>8</v>
      </c>
      <c r="C25" s="2" t="s">
        <v>9</v>
      </c>
      <c r="D25" s="2" t="s">
        <v>10</v>
      </c>
      <c r="E25" s="2" t="s">
        <v>11</v>
      </c>
      <c r="F25" s="2" t="s">
        <v>12</v>
      </c>
      <c r="G25" s="2" t="s">
        <v>19</v>
      </c>
      <c r="H25" s="2" t="s">
        <v>13</v>
      </c>
      <c r="I25" s="1" t="s">
        <v>18</v>
      </c>
      <c r="J25" s="1" t="s">
        <v>14</v>
      </c>
      <c r="K25" s="2" t="s">
        <v>16</v>
      </c>
      <c r="L25" s="2" t="s">
        <v>15</v>
      </c>
      <c r="M25" s="2" t="s">
        <v>17</v>
      </c>
    </row>
    <row r="26" spans="1:14">
      <c r="A26" s="3">
        <v>0.9</v>
      </c>
      <c r="B26" s="3">
        <f>1.8*A26</f>
        <v>1.62</v>
      </c>
      <c r="C26" s="3">
        <f>3.3*A26</f>
        <v>2.9699999999999998</v>
      </c>
      <c r="D26" s="3">
        <f>3.2*A26</f>
        <v>2.8800000000000003</v>
      </c>
      <c r="E26" s="3" t="s">
        <v>0</v>
      </c>
      <c r="F26" s="3">
        <v>1.9419999999999999</v>
      </c>
      <c r="G26" s="8">
        <f>1/F26</f>
        <v>0.51493305870236872</v>
      </c>
      <c r="H26" s="3">
        <v>0.23499999999999999</v>
      </c>
      <c r="I26" s="3">
        <f t="shared" ref="I26:I45" si="7">H26*F26</f>
        <v>0.45636999999999994</v>
      </c>
      <c r="J26" s="3">
        <v>0.215</v>
      </c>
      <c r="K26" s="8">
        <f t="shared" ref="K26:K45" si="8">J26*F26</f>
        <v>0.41752999999999996</v>
      </c>
      <c r="L26" s="3">
        <v>0.26</v>
      </c>
      <c r="M26" s="8">
        <f t="shared" ref="M26:M45" si="9">L26*F26</f>
        <v>0.50492000000000004</v>
      </c>
    </row>
    <row r="27" spans="1:14">
      <c r="A27" s="3">
        <v>0.95</v>
      </c>
      <c r="B27" s="3">
        <f t="shared" ref="B27:B28" si="10">1.8*A27</f>
        <v>1.71</v>
      </c>
      <c r="C27" s="3">
        <f t="shared" ref="C27:C28" si="11">3.3*A27</f>
        <v>3.1349999999999998</v>
      </c>
      <c r="D27" s="3">
        <f t="shared" ref="D27:D28" si="12">3.2*A27</f>
        <v>3.04</v>
      </c>
      <c r="E27" s="3" t="s">
        <v>0</v>
      </c>
      <c r="F27" s="3">
        <v>1.7989999999999999</v>
      </c>
      <c r="G27" s="8">
        <f t="shared" ref="G27:G45" si="13">1/F27</f>
        <v>0.5558643690939411</v>
      </c>
      <c r="H27" s="3">
        <v>0.26</v>
      </c>
      <c r="I27" s="3">
        <f t="shared" si="7"/>
        <v>0.46773999999999999</v>
      </c>
      <c r="J27" s="3">
        <v>0.26</v>
      </c>
      <c r="K27" s="8">
        <f t="shared" si="8"/>
        <v>0.46773999999999999</v>
      </c>
      <c r="L27" s="3">
        <v>0.27500000000000002</v>
      </c>
      <c r="M27" s="8">
        <f t="shared" si="9"/>
        <v>0.49472500000000003</v>
      </c>
    </row>
    <row r="28" spans="1:14">
      <c r="A28" s="3">
        <v>1</v>
      </c>
      <c r="B28" s="3">
        <f t="shared" si="10"/>
        <v>1.8</v>
      </c>
      <c r="C28" s="3">
        <f t="shared" si="11"/>
        <v>3.3</v>
      </c>
      <c r="D28" s="3">
        <f t="shared" si="12"/>
        <v>3.2</v>
      </c>
      <c r="E28" s="3" t="s">
        <v>0</v>
      </c>
      <c r="F28" s="3">
        <v>1.706</v>
      </c>
      <c r="G28" s="8">
        <f t="shared" si="13"/>
        <v>0.58616647127784294</v>
      </c>
      <c r="H28" s="3">
        <v>0.23499999999999999</v>
      </c>
      <c r="I28" s="3">
        <f t="shared" si="7"/>
        <v>0.40090999999999999</v>
      </c>
      <c r="J28" s="3">
        <v>0.25</v>
      </c>
      <c r="K28" s="8">
        <f t="shared" si="8"/>
        <v>0.42649999999999999</v>
      </c>
      <c r="L28" s="3">
        <v>0.26500000000000001</v>
      </c>
      <c r="M28" s="8">
        <f t="shared" si="9"/>
        <v>0.45208999999999999</v>
      </c>
    </row>
    <row r="29" spans="1:14">
      <c r="A29" s="3">
        <v>1.05</v>
      </c>
      <c r="B29" s="3">
        <f>1.8*A29</f>
        <v>1.8900000000000001</v>
      </c>
      <c r="C29" s="3">
        <f>3.3*A29</f>
        <v>3.4649999999999999</v>
      </c>
      <c r="D29" s="3">
        <f>3.2*A29</f>
        <v>3.3600000000000003</v>
      </c>
      <c r="E29" s="3" t="s">
        <v>0</v>
      </c>
      <c r="F29" s="3">
        <v>1.6439999999999999</v>
      </c>
      <c r="G29" s="8">
        <f t="shared" si="13"/>
        <v>0.6082725060827251</v>
      </c>
      <c r="H29" s="3">
        <v>0.24</v>
      </c>
      <c r="I29" s="3">
        <f t="shared" si="7"/>
        <v>0.39455999999999997</v>
      </c>
      <c r="J29" s="3">
        <v>0.26</v>
      </c>
      <c r="K29" s="8">
        <f t="shared" si="8"/>
        <v>0.42743999999999999</v>
      </c>
      <c r="L29" s="3">
        <v>0.26</v>
      </c>
      <c r="M29" s="8">
        <f t="shared" si="9"/>
        <v>0.42743999999999999</v>
      </c>
    </row>
    <row r="30" spans="1:14">
      <c r="A30" s="3">
        <v>1.1000000000000001</v>
      </c>
      <c r="B30" s="3">
        <f>1.8*A30</f>
        <v>1.9800000000000002</v>
      </c>
      <c r="C30" s="3">
        <f>3.3*A30</f>
        <v>3.63</v>
      </c>
      <c r="D30" s="3">
        <f>3.2*A30</f>
        <v>3.5200000000000005</v>
      </c>
      <c r="E30" s="3" t="s">
        <v>0</v>
      </c>
      <c r="F30" s="3">
        <v>1.5980000000000001</v>
      </c>
      <c r="G30" s="8">
        <f t="shared" si="13"/>
        <v>0.62578222778473092</v>
      </c>
      <c r="H30" s="3">
        <v>0.23</v>
      </c>
      <c r="I30" s="3">
        <f t="shared" si="7"/>
        <v>0.36754000000000003</v>
      </c>
      <c r="J30" s="3">
        <v>0.28000000000000003</v>
      </c>
      <c r="K30" s="8">
        <f t="shared" si="8"/>
        <v>0.44744000000000006</v>
      </c>
      <c r="L30" s="3">
        <v>0.26</v>
      </c>
      <c r="M30" s="8">
        <f t="shared" si="9"/>
        <v>0.41548000000000002</v>
      </c>
    </row>
    <row r="31" spans="1:14">
      <c r="A31" s="4">
        <v>0.9</v>
      </c>
      <c r="B31" s="4">
        <f>1.8*A31</f>
        <v>1.62</v>
      </c>
      <c r="C31" s="4">
        <f>3.3*A31</f>
        <v>2.9699999999999998</v>
      </c>
      <c r="D31" s="4">
        <f>3.2*A31</f>
        <v>2.8800000000000003</v>
      </c>
      <c r="E31" s="4" t="s">
        <v>1</v>
      </c>
      <c r="F31" s="4">
        <v>1.948</v>
      </c>
      <c r="G31" s="10">
        <f t="shared" si="13"/>
        <v>0.51334702258726905</v>
      </c>
      <c r="H31" s="4">
        <v>0.23499999999999999</v>
      </c>
      <c r="I31" s="4">
        <f t="shared" si="7"/>
        <v>0.45777999999999996</v>
      </c>
      <c r="J31" s="4">
        <v>0.185</v>
      </c>
      <c r="K31" s="10">
        <f t="shared" si="8"/>
        <v>0.36037999999999998</v>
      </c>
      <c r="L31" s="4">
        <v>0.26500000000000001</v>
      </c>
      <c r="M31" s="10">
        <f t="shared" si="9"/>
        <v>0.51622000000000001</v>
      </c>
      <c r="N31" s="4"/>
    </row>
    <row r="32" spans="1:14">
      <c r="A32" s="4">
        <v>0.95</v>
      </c>
      <c r="B32" s="4">
        <f t="shared" ref="B32:B33" si="14">1.8*A32</f>
        <v>1.71</v>
      </c>
      <c r="C32" s="4">
        <f t="shared" ref="C32:C33" si="15">3.3*A32</f>
        <v>3.1349999999999998</v>
      </c>
      <c r="D32" s="4">
        <f t="shared" ref="D32:D33" si="16">3.2*A32</f>
        <v>3.04</v>
      </c>
      <c r="E32" s="4" t="s">
        <v>1</v>
      </c>
      <c r="F32" s="4">
        <v>1.8009999999999999</v>
      </c>
      <c r="G32" s="10">
        <f t="shared" si="13"/>
        <v>0.55524708495280406</v>
      </c>
      <c r="H32" s="4">
        <v>0.23</v>
      </c>
      <c r="I32" s="4">
        <f t="shared" si="7"/>
        <v>0.41422999999999999</v>
      </c>
      <c r="J32" s="4">
        <v>0.24</v>
      </c>
      <c r="K32" s="10">
        <f t="shared" si="8"/>
        <v>0.43223999999999996</v>
      </c>
      <c r="L32" s="4">
        <v>0.26500000000000001</v>
      </c>
      <c r="M32" s="10">
        <f t="shared" si="9"/>
        <v>0.47726499999999999</v>
      </c>
      <c r="N32" s="4"/>
    </row>
    <row r="33" spans="1:14">
      <c r="A33" s="4">
        <v>1</v>
      </c>
      <c r="B33" s="4">
        <f t="shared" si="14"/>
        <v>1.8</v>
      </c>
      <c r="C33" s="4">
        <f t="shared" si="15"/>
        <v>3.3</v>
      </c>
      <c r="D33" s="4">
        <f t="shared" si="16"/>
        <v>3.2</v>
      </c>
      <c r="E33" s="4" t="s">
        <v>1</v>
      </c>
      <c r="F33" s="4">
        <v>1.708</v>
      </c>
      <c r="G33" s="10">
        <f t="shared" si="13"/>
        <v>0.58548009367681497</v>
      </c>
      <c r="H33" s="4">
        <v>0.23499999999999999</v>
      </c>
      <c r="I33" s="4">
        <f t="shared" si="7"/>
        <v>0.40137999999999996</v>
      </c>
      <c r="J33" s="4">
        <v>0.23499999999999999</v>
      </c>
      <c r="K33" s="10">
        <f t="shared" si="8"/>
        <v>0.40137999999999996</v>
      </c>
      <c r="L33" s="4">
        <v>0.26500000000000001</v>
      </c>
      <c r="M33" s="10">
        <f t="shared" si="9"/>
        <v>0.45262000000000002</v>
      </c>
      <c r="N33" s="4"/>
    </row>
    <row r="34" spans="1:14">
      <c r="A34" s="4">
        <v>1.05</v>
      </c>
      <c r="B34" s="4">
        <f>1.8*A34</f>
        <v>1.8900000000000001</v>
      </c>
      <c r="C34" s="4">
        <f>3.3*A34</f>
        <v>3.4649999999999999</v>
      </c>
      <c r="D34" s="4">
        <f>3.2*A34</f>
        <v>3.3600000000000003</v>
      </c>
      <c r="E34" s="4" t="s">
        <v>1</v>
      </c>
      <c r="F34" s="4">
        <v>1.649</v>
      </c>
      <c r="G34" s="10">
        <f t="shared" si="13"/>
        <v>0.60642813826561548</v>
      </c>
      <c r="H34" s="4">
        <v>0.23</v>
      </c>
      <c r="I34" s="4">
        <f t="shared" si="7"/>
        <v>0.37927</v>
      </c>
      <c r="J34" s="4">
        <v>0.245</v>
      </c>
      <c r="K34" s="10">
        <f t="shared" si="8"/>
        <v>0.404005</v>
      </c>
      <c r="L34" s="4">
        <v>0.26</v>
      </c>
      <c r="M34" s="10">
        <f t="shared" si="9"/>
        <v>0.42874000000000001</v>
      </c>
      <c r="N34" s="4"/>
    </row>
    <row r="35" spans="1:14">
      <c r="A35" s="4">
        <v>1.1000000000000001</v>
      </c>
      <c r="B35" s="4">
        <f>1.8*A35</f>
        <v>1.9800000000000002</v>
      </c>
      <c r="C35" s="4">
        <f>3.3*A35</f>
        <v>3.63</v>
      </c>
      <c r="D35" s="4">
        <f>3.2*A35</f>
        <v>3.5200000000000005</v>
      </c>
      <c r="E35" s="4" t="s">
        <v>1</v>
      </c>
      <c r="F35" s="4">
        <v>1.607</v>
      </c>
      <c r="G35" s="10">
        <f t="shared" si="13"/>
        <v>0.62227753578095835</v>
      </c>
      <c r="H35" s="4">
        <v>0.22500000000000001</v>
      </c>
      <c r="I35" s="4">
        <f t="shared" si="7"/>
        <v>0.36157499999999998</v>
      </c>
      <c r="J35" s="4">
        <v>0.26</v>
      </c>
      <c r="K35" s="10">
        <f t="shared" si="8"/>
        <v>0.41782000000000002</v>
      </c>
      <c r="L35" s="4">
        <v>0.24</v>
      </c>
      <c r="M35" s="10">
        <f t="shared" si="9"/>
        <v>0.38567999999999997</v>
      </c>
      <c r="N35" s="4"/>
    </row>
    <row r="36" spans="1:14">
      <c r="A36" s="6">
        <v>0.9</v>
      </c>
      <c r="B36" s="6">
        <f>1.8*A36</f>
        <v>1.62</v>
      </c>
      <c r="C36" s="6">
        <f>3.3*A36</f>
        <v>2.9699999999999998</v>
      </c>
      <c r="D36" s="6">
        <f>3.2*A36</f>
        <v>2.8800000000000003</v>
      </c>
      <c r="E36" s="6" t="s">
        <v>2</v>
      </c>
      <c r="F36" s="6">
        <v>1.893</v>
      </c>
      <c r="G36" s="17">
        <f t="shared" si="13"/>
        <v>0.52826201796090866</v>
      </c>
      <c r="H36" s="6">
        <v>0.22500000000000001</v>
      </c>
      <c r="I36" s="6">
        <f t="shared" si="7"/>
        <v>0.425925</v>
      </c>
      <c r="J36" s="6">
        <v>0.255</v>
      </c>
      <c r="K36" s="17">
        <f t="shared" si="8"/>
        <v>0.48271500000000001</v>
      </c>
      <c r="L36" s="6">
        <v>0.26</v>
      </c>
      <c r="M36" s="17">
        <f t="shared" si="9"/>
        <v>0.49218000000000001</v>
      </c>
    </row>
    <row r="37" spans="1:14">
      <c r="A37" s="6">
        <v>0.95</v>
      </c>
      <c r="B37" s="6">
        <f t="shared" ref="B37:B38" si="17">1.8*A37</f>
        <v>1.71</v>
      </c>
      <c r="C37" s="6">
        <f t="shared" ref="C37:C38" si="18">3.3*A37</f>
        <v>3.1349999999999998</v>
      </c>
      <c r="D37" s="6">
        <f t="shared" ref="D37:D38" si="19">3.2*A37</f>
        <v>3.04</v>
      </c>
      <c r="E37" s="6" t="s">
        <v>2</v>
      </c>
      <c r="F37" s="6">
        <v>1.752</v>
      </c>
      <c r="G37" s="17">
        <f t="shared" si="13"/>
        <v>0.57077625570776258</v>
      </c>
      <c r="H37" s="6">
        <v>0.23</v>
      </c>
      <c r="I37" s="6">
        <f t="shared" si="7"/>
        <v>0.40296000000000004</v>
      </c>
      <c r="J37" s="6">
        <v>0.26500000000000001</v>
      </c>
      <c r="K37" s="17">
        <f t="shared" si="8"/>
        <v>0.46428000000000003</v>
      </c>
      <c r="L37" s="6">
        <v>0.28000000000000003</v>
      </c>
      <c r="M37" s="17">
        <f t="shared" si="9"/>
        <v>0.49056000000000005</v>
      </c>
    </row>
    <row r="38" spans="1:14">
      <c r="A38" s="6">
        <v>1</v>
      </c>
      <c r="B38" s="6">
        <f t="shared" si="17"/>
        <v>1.8</v>
      </c>
      <c r="C38" s="6">
        <f t="shared" si="18"/>
        <v>3.3</v>
      </c>
      <c r="D38" s="6">
        <f t="shared" si="19"/>
        <v>3.2</v>
      </c>
      <c r="E38" s="6" t="s">
        <v>2</v>
      </c>
      <c r="F38" s="6">
        <v>1.6659999999999999</v>
      </c>
      <c r="G38" s="17">
        <f t="shared" si="13"/>
        <v>0.60024009603841544</v>
      </c>
      <c r="H38" s="6">
        <v>0.23499999999999999</v>
      </c>
      <c r="I38" s="6">
        <f t="shared" si="7"/>
        <v>0.39150999999999997</v>
      </c>
      <c r="J38" s="6">
        <v>0.26</v>
      </c>
      <c r="K38" s="17">
        <f t="shared" si="8"/>
        <v>0.43315999999999999</v>
      </c>
      <c r="L38" s="6">
        <v>0.26500000000000001</v>
      </c>
      <c r="M38" s="17">
        <f t="shared" si="9"/>
        <v>0.44148999999999999</v>
      </c>
    </row>
    <row r="39" spans="1:14">
      <c r="A39" s="6">
        <v>1.05</v>
      </c>
      <c r="B39" s="6">
        <f>1.8*A39</f>
        <v>1.8900000000000001</v>
      </c>
      <c r="C39" s="6">
        <f>3.3*A39</f>
        <v>3.4649999999999999</v>
      </c>
      <c r="D39" s="6">
        <f>3.2*A39</f>
        <v>3.3600000000000003</v>
      </c>
      <c r="E39" s="6" t="s">
        <v>2</v>
      </c>
      <c r="F39" s="6">
        <v>1.6160000000000001</v>
      </c>
      <c r="G39" s="17">
        <f t="shared" si="13"/>
        <v>0.61881188118811881</v>
      </c>
      <c r="H39" s="6">
        <v>0.23499999999999999</v>
      </c>
      <c r="I39" s="6">
        <f t="shared" si="7"/>
        <v>0.37975999999999999</v>
      </c>
      <c r="J39" s="6">
        <v>0.26</v>
      </c>
      <c r="K39" s="17">
        <f t="shared" si="8"/>
        <v>0.42016000000000003</v>
      </c>
      <c r="L39" s="6">
        <v>0.26</v>
      </c>
      <c r="M39" s="17">
        <f t="shared" si="9"/>
        <v>0.42016000000000003</v>
      </c>
    </row>
    <row r="40" spans="1:14">
      <c r="A40" s="6">
        <v>1.1000000000000001</v>
      </c>
      <c r="B40" s="6">
        <f>1.8*A40</f>
        <v>1.9800000000000002</v>
      </c>
      <c r="C40" s="6">
        <f>3.3*A40</f>
        <v>3.63</v>
      </c>
      <c r="D40" s="6">
        <f>3.2*A40</f>
        <v>3.5200000000000005</v>
      </c>
      <c r="E40" s="6" t="s">
        <v>2</v>
      </c>
      <c r="F40" s="6">
        <v>1.58</v>
      </c>
      <c r="G40" s="17">
        <f t="shared" si="13"/>
        <v>0.63291139240506322</v>
      </c>
      <c r="H40" s="6">
        <v>0.24</v>
      </c>
      <c r="I40" s="6">
        <f t="shared" si="7"/>
        <v>0.37919999999999998</v>
      </c>
      <c r="J40" s="6">
        <v>0.26</v>
      </c>
      <c r="K40" s="17">
        <f t="shared" si="8"/>
        <v>0.41080000000000005</v>
      </c>
      <c r="L40" s="6">
        <v>0.22</v>
      </c>
      <c r="M40" s="17">
        <f t="shared" si="9"/>
        <v>0.34760000000000002</v>
      </c>
    </row>
    <row r="41" spans="1:14">
      <c r="A41" s="5">
        <v>0.9</v>
      </c>
      <c r="B41" s="5">
        <f>1.8*A41</f>
        <v>1.62</v>
      </c>
      <c r="C41" s="5">
        <f>3.3*A41</f>
        <v>2.9699999999999998</v>
      </c>
      <c r="D41" s="5">
        <f>3.2*A41</f>
        <v>2.8800000000000003</v>
      </c>
      <c r="E41" s="5" t="s">
        <v>3</v>
      </c>
      <c r="F41" s="5">
        <v>1.762</v>
      </c>
      <c r="G41" s="14">
        <f t="shared" si="13"/>
        <v>0.56753688989784334</v>
      </c>
      <c r="H41" s="5">
        <v>0.23499999999999999</v>
      </c>
      <c r="I41" s="5">
        <f t="shared" si="7"/>
        <v>0.41406999999999999</v>
      </c>
      <c r="J41" s="5">
        <v>0.28499999999999998</v>
      </c>
      <c r="K41" s="14">
        <f t="shared" si="8"/>
        <v>0.50217000000000001</v>
      </c>
      <c r="L41" s="5">
        <v>0.27300000000000002</v>
      </c>
      <c r="M41" s="14">
        <f t="shared" si="9"/>
        <v>0.48102600000000006</v>
      </c>
    </row>
    <row r="42" spans="1:14">
      <c r="A42" s="5">
        <v>0.95</v>
      </c>
      <c r="B42" s="5">
        <f t="shared" ref="B42:B43" si="20">1.8*A42</f>
        <v>1.71</v>
      </c>
      <c r="C42" s="5">
        <f t="shared" ref="C42:C43" si="21">3.3*A42</f>
        <v>3.1349999999999998</v>
      </c>
      <c r="D42" s="5">
        <f t="shared" ref="D42:D43" si="22">3.2*A42</f>
        <v>3.04</v>
      </c>
      <c r="E42" s="5" t="s">
        <v>3</v>
      </c>
      <c r="F42" s="5">
        <v>1.633</v>
      </c>
      <c r="G42" s="14">
        <f t="shared" si="13"/>
        <v>0.61236987140232702</v>
      </c>
      <c r="H42" s="5">
        <v>0.24</v>
      </c>
      <c r="I42" s="5">
        <f t="shared" si="7"/>
        <v>0.39191999999999999</v>
      </c>
      <c r="J42" s="5">
        <v>0.25</v>
      </c>
      <c r="K42" s="14">
        <f t="shared" si="8"/>
        <v>0.40825</v>
      </c>
      <c r="L42" s="5">
        <v>0.28000000000000003</v>
      </c>
      <c r="M42" s="14">
        <f t="shared" si="9"/>
        <v>0.45724000000000004</v>
      </c>
    </row>
    <row r="43" spans="1:14">
      <c r="A43" s="5">
        <v>1</v>
      </c>
      <c r="B43" s="5">
        <f t="shared" si="20"/>
        <v>1.8</v>
      </c>
      <c r="C43" s="5">
        <f t="shared" si="21"/>
        <v>3.3</v>
      </c>
      <c r="D43" s="5">
        <f t="shared" si="22"/>
        <v>3.2</v>
      </c>
      <c r="E43" s="5" t="s">
        <v>3</v>
      </c>
      <c r="F43" s="5">
        <v>1.5620000000000001</v>
      </c>
      <c r="G43" s="14">
        <f t="shared" si="13"/>
        <v>0.6402048655569782</v>
      </c>
      <c r="H43" s="5">
        <v>0.23499999999999999</v>
      </c>
      <c r="I43" s="5">
        <f t="shared" si="7"/>
        <v>0.36707000000000001</v>
      </c>
      <c r="J43" s="5">
        <v>0.255</v>
      </c>
      <c r="K43" s="14">
        <f t="shared" si="8"/>
        <v>0.39831</v>
      </c>
      <c r="L43" s="5">
        <v>0.28499999999999998</v>
      </c>
      <c r="M43" s="14">
        <f t="shared" si="9"/>
        <v>0.44516999999999995</v>
      </c>
    </row>
    <row r="44" spans="1:14">
      <c r="A44" s="5">
        <v>1.05</v>
      </c>
      <c r="B44" s="5">
        <f>1.8*A44</f>
        <v>1.8900000000000001</v>
      </c>
      <c r="C44" s="5">
        <f>3.3*A44</f>
        <v>3.4649999999999999</v>
      </c>
      <c r="D44" s="5">
        <f>3.2*A44</f>
        <v>3.3600000000000003</v>
      </c>
      <c r="E44" s="5" t="s">
        <v>3</v>
      </c>
      <c r="F44" s="5">
        <v>1.524</v>
      </c>
      <c r="G44" s="14">
        <f t="shared" si="13"/>
        <v>0.65616797900262469</v>
      </c>
      <c r="H44" s="5">
        <v>0.24</v>
      </c>
      <c r="I44" s="5">
        <f t="shared" si="7"/>
        <v>0.36575999999999997</v>
      </c>
      <c r="J44" s="5">
        <v>0.25</v>
      </c>
      <c r="K44" s="14">
        <f t="shared" si="8"/>
        <v>0.38100000000000001</v>
      </c>
      <c r="L44" s="5">
        <v>0.24</v>
      </c>
      <c r="M44" s="14">
        <f t="shared" si="9"/>
        <v>0.36575999999999997</v>
      </c>
    </row>
    <row r="45" spans="1:14">
      <c r="A45" s="5">
        <v>1.1000000000000001</v>
      </c>
      <c r="B45" s="5">
        <f>1.8*A45</f>
        <v>1.9800000000000002</v>
      </c>
      <c r="C45" s="5">
        <f>3.3*A45</f>
        <v>3.63</v>
      </c>
      <c r="D45" s="5">
        <f>3.2*A45</f>
        <v>3.5200000000000005</v>
      </c>
      <c r="E45" s="5" t="s">
        <v>3</v>
      </c>
      <c r="F45" s="5">
        <v>1.498</v>
      </c>
      <c r="G45" s="14">
        <f t="shared" si="13"/>
        <v>0.66755674232309747</v>
      </c>
      <c r="H45" s="5">
        <v>0.245</v>
      </c>
      <c r="I45" s="5">
        <f t="shared" si="7"/>
        <v>0.36701</v>
      </c>
      <c r="J45" s="5">
        <v>0.24</v>
      </c>
      <c r="K45" s="14">
        <f t="shared" si="8"/>
        <v>0.35952000000000001</v>
      </c>
      <c r="L45" s="5">
        <v>0.245</v>
      </c>
      <c r="M45" s="14">
        <f t="shared" si="9"/>
        <v>0.36701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1"/>
  <sheetViews>
    <sheetView workbookViewId="0">
      <selection activeCell="G9" sqref="G9"/>
    </sheetView>
  </sheetViews>
  <sheetFormatPr baseColWidth="10" defaultRowHeight="14" x14ac:dyDescent="0"/>
  <sheetData>
    <row r="1" spans="1:12">
      <c r="A1" s="2" t="s">
        <v>11</v>
      </c>
      <c r="B1" s="2" t="s">
        <v>7</v>
      </c>
      <c r="C1" s="2" t="s">
        <v>8</v>
      </c>
      <c r="D1" s="2" t="s">
        <v>9</v>
      </c>
      <c r="E1" s="2" t="s">
        <v>10</v>
      </c>
      <c r="F1" s="2">
        <v>20</v>
      </c>
      <c r="G1" s="2">
        <v>44</v>
      </c>
      <c r="H1" s="2">
        <v>60</v>
      </c>
      <c r="I1" s="2">
        <v>75</v>
      </c>
      <c r="J1" s="2">
        <v>100</v>
      </c>
      <c r="K1" s="2">
        <v>125</v>
      </c>
      <c r="L1" t="s">
        <v>20</v>
      </c>
    </row>
    <row r="2" spans="1:12">
      <c r="A2" s="3" t="s">
        <v>0</v>
      </c>
      <c r="B2" s="3">
        <v>0.9</v>
      </c>
      <c r="C2" s="3">
        <f>1.8*B2</f>
        <v>1.62</v>
      </c>
      <c r="D2" s="3">
        <f>3.3*B2</f>
        <v>2.9699999999999998</v>
      </c>
      <c r="E2" s="3">
        <f>3.2*B2</f>
        <v>2.8800000000000003</v>
      </c>
      <c r="F2" s="8">
        <f>1/2.506</f>
        <v>0.39904229848363931</v>
      </c>
      <c r="G2" s="8">
        <f>Sheet2!G26</f>
        <v>0.51493305870236872</v>
      </c>
      <c r="H2" s="8">
        <f>1/1.771</f>
        <v>0.56465273856578202</v>
      </c>
      <c r="I2" s="8">
        <f>1/1.661</f>
        <v>0.60204695966285371</v>
      </c>
      <c r="J2" s="8">
        <f>1/1.567</f>
        <v>0.63816209317166561</v>
      </c>
      <c r="K2" s="8">
        <f>1/1.512</f>
        <v>0.66137566137566139</v>
      </c>
    </row>
    <row r="3" spans="1:12">
      <c r="A3" s="3"/>
      <c r="B3" s="3">
        <v>0.95</v>
      </c>
      <c r="C3" s="3">
        <f t="shared" ref="C3:C21" si="0">1.8*B3</f>
        <v>1.71</v>
      </c>
      <c r="D3" s="3">
        <f t="shared" ref="D3:D6" si="1">3.3*B3</f>
        <v>3.1349999999999998</v>
      </c>
      <c r="E3" s="3">
        <f t="shared" ref="E3:E6" si="2">3.2*B3</f>
        <v>3.04</v>
      </c>
      <c r="F3" s="9">
        <f>1/2.318</f>
        <v>0.43140638481449523</v>
      </c>
      <c r="G3" s="8">
        <f>Sheet2!G27</f>
        <v>0.5558643690939411</v>
      </c>
      <c r="H3" s="8">
        <f>1/1.638</f>
        <v>0.61050061050061055</v>
      </c>
      <c r="I3" s="8">
        <f>1/1.53</f>
        <v>0.65359477124183007</v>
      </c>
      <c r="J3" s="8">
        <f>1/1.437</f>
        <v>0.6958942240779401</v>
      </c>
      <c r="K3" s="8">
        <f>1/1.358</f>
        <v>0.73637702503681879</v>
      </c>
    </row>
    <row r="4" spans="1:12">
      <c r="A4" s="3"/>
      <c r="B4" s="3">
        <v>1</v>
      </c>
      <c r="C4" s="3">
        <f t="shared" si="0"/>
        <v>1.8</v>
      </c>
      <c r="D4" s="3">
        <f t="shared" si="1"/>
        <v>3.3</v>
      </c>
      <c r="E4" s="3">
        <f t="shared" si="2"/>
        <v>3.2</v>
      </c>
      <c r="F4" s="8">
        <f>1/2.194</f>
        <v>0.45578851412944393</v>
      </c>
      <c r="G4" s="8">
        <f>Sheet2!G28</f>
        <v>0.58616647127784294</v>
      </c>
      <c r="H4" s="8">
        <f>1/1.554</f>
        <v>0.64350064350064351</v>
      </c>
      <c r="I4" s="8">
        <f>1/1.445</f>
        <v>0.69204152249134943</v>
      </c>
      <c r="J4" s="8">
        <f>1/1.348</f>
        <v>0.74183976261127593</v>
      </c>
      <c r="K4" s="8">
        <f>1/1.281</f>
        <v>0.78064012490242007</v>
      </c>
    </row>
    <row r="5" spans="1:12">
      <c r="A5" s="3"/>
      <c r="B5" s="3">
        <v>1.05</v>
      </c>
      <c r="C5" s="3">
        <f t="shared" si="0"/>
        <v>1.8900000000000001</v>
      </c>
      <c r="D5" s="3">
        <f t="shared" si="1"/>
        <v>3.4649999999999999</v>
      </c>
      <c r="E5" s="3">
        <f t="shared" si="2"/>
        <v>3.3600000000000003</v>
      </c>
      <c r="F5" s="8">
        <f>1/2.11</f>
        <v>0.47393364928909953</v>
      </c>
      <c r="G5" s="8">
        <f>Sheet2!G29</f>
        <v>0.6082725060827251</v>
      </c>
      <c r="H5" s="8">
        <f>1/1.5</f>
        <v>0.66666666666666663</v>
      </c>
      <c r="I5" s="8">
        <f>1/1.402</f>
        <v>0.71326676176890158</v>
      </c>
      <c r="J5" s="8">
        <f>1/1.305</f>
        <v>0.76628352490421459</v>
      </c>
      <c r="K5" s="8">
        <f>1/1.248</f>
        <v>0.80128205128205132</v>
      </c>
    </row>
    <row r="6" spans="1:12">
      <c r="A6" s="3"/>
      <c r="B6" s="3">
        <v>1.1000000000000001</v>
      </c>
      <c r="C6" s="3">
        <f t="shared" si="0"/>
        <v>1.9800000000000002</v>
      </c>
      <c r="D6" s="3">
        <f t="shared" si="1"/>
        <v>3.63</v>
      </c>
      <c r="E6" s="3">
        <f t="shared" si="2"/>
        <v>3.5200000000000005</v>
      </c>
      <c r="F6" s="9">
        <f>1/2.046</f>
        <v>0.48875855327468237</v>
      </c>
      <c r="G6" s="8">
        <f>Sheet2!G30</f>
        <v>0.62578222778473092</v>
      </c>
      <c r="H6" s="8">
        <f>1/1.46</f>
        <v>0.68493150684931503</v>
      </c>
      <c r="I6" s="8">
        <f>1/1.364</f>
        <v>0.73313782991202336</v>
      </c>
      <c r="J6" s="8">
        <f>1/1.281</f>
        <v>0.78064012490242007</v>
      </c>
      <c r="K6" s="8">
        <f>1/1.227</f>
        <v>0.81499592502037488</v>
      </c>
    </row>
    <row r="7" spans="1:12">
      <c r="A7" s="4" t="s">
        <v>1</v>
      </c>
      <c r="B7" s="4">
        <v>0.9</v>
      </c>
      <c r="C7" s="4">
        <f>1.8*B7</f>
        <v>1.62</v>
      </c>
      <c r="D7" s="4">
        <f>3.3*B7</f>
        <v>2.9699999999999998</v>
      </c>
      <c r="E7" s="4">
        <f>3.2*B7</f>
        <v>2.8800000000000003</v>
      </c>
      <c r="F7" s="10">
        <f>1/2.331</f>
        <v>0.42900042900042901</v>
      </c>
      <c r="G7" s="10">
        <f>Sheet2!G31</f>
        <v>0.51334702258726905</v>
      </c>
      <c r="H7" s="10">
        <f>1/1.809</f>
        <v>0.55279159756771701</v>
      </c>
      <c r="I7" s="11">
        <f>1/1.691</f>
        <v>0.59136605558840916</v>
      </c>
      <c r="J7" s="10">
        <f>1/1.603</f>
        <v>0.62383031815346224</v>
      </c>
      <c r="K7" s="10">
        <f>1/1.546</f>
        <v>0.64683053040103489</v>
      </c>
    </row>
    <row r="8" spans="1:12">
      <c r="A8" s="4"/>
      <c r="B8" s="4">
        <v>0.95</v>
      </c>
      <c r="C8" s="4">
        <f t="shared" si="0"/>
        <v>1.71</v>
      </c>
      <c r="D8" s="4">
        <f t="shared" ref="D8:D11" si="3">3.3*B8</f>
        <v>3.1349999999999998</v>
      </c>
      <c r="E8" s="4">
        <f t="shared" ref="E8:E11" si="4">3.2*B8</f>
        <v>3.04</v>
      </c>
      <c r="F8" s="10">
        <f>1/2.144</f>
        <v>0.46641791044776115</v>
      </c>
      <c r="G8" s="10">
        <f>Sheet2!G32</f>
        <v>0.55524708495280406</v>
      </c>
      <c r="H8" s="11">
        <f>1/1.67</f>
        <v>0.5988023952095809</v>
      </c>
      <c r="I8" s="10">
        <f>1/1.558</f>
        <v>0.64184852374839541</v>
      </c>
      <c r="J8" s="10">
        <f>1/1.472</f>
        <v>0.67934782608695654</v>
      </c>
      <c r="K8" s="10">
        <f>1/1.416</f>
        <v>0.70621468926553677</v>
      </c>
    </row>
    <row r="9" spans="1:12">
      <c r="A9" s="4"/>
      <c r="B9" s="4">
        <v>1</v>
      </c>
      <c r="C9" s="4">
        <f t="shared" si="0"/>
        <v>1.8</v>
      </c>
      <c r="D9" s="4">
        <f t="shared" si="3"/>
        <v>3.3</v>
      </c>
      <c r="E9" s="4">
        <f t="shared" si="4"/>
        <v>3.2</v>
      </c>
      <c r="F9" s="10">
        <f>1/2.028</f>
        <v>0.49309664694280081</v>
      </c>
      <c r="G9" s="10">
        <f>Sheet2!G33</f>
        <v>0.58548009367681497</v>
      </c>
      <c r="H9" s="10">
        <f>1/1.585</f>
        <v>0.63091482649842268</v>
      </c>
      <c r="I9" s="10">
        <f>1/1.478</f>
        <v>0.67658998646820023</v>
      </c>
      <c r="J9" s="10">
        <f>1/1.392</f>
        <v>0.71839080459770122</v>
      </c>
      <c r="K9" s="10">
        <f>1/1.324</f>
        <v>0.75528700906344404</v>
      </c>
    </row>
    <row r="10" spans="1:12">
      <c r="A10" s="4"/>
      <c r="B10" s="4">
        <v>1.05</v>
      </c>
      <c r="C10" s="4">
        <f t="shared" si="0"/>
        <v>1.8900000000000001</v>
      </c>
      <c r="D10" s="4">
        <f t="shared" si="3"/>
        <v>3.4649999999999999</v>
      </c>
      <c r="E10" s="4">
        <f t="shared" si="4"/>
        <v>3.3600000000000003</v>
      </c>
      <c r="F10" s="10">
        <f>1/1.96</f>
        <v>0.51020408163265307</v>
      </c>
      <c r="G10" s="10">
        <f>Sheet2!G34</f>
        <v>0.60642813826561548</v>
      </c>
      <c r="H10" s="10">
        <f>1/1.532</f>
        <v>0.65274151436031336</v>
      </c>
      <c r="I10" s="10">
        <f>1/1.43</f>
        <v>0.69930069930069938</v>
      </c>
      <c r="J10" s="10">
        <f>1/1.343</f>
        <v>0.74460163812360391</v>
      </c>
      <c r="K10" s="10">
        <f>1/1.286</f>
        <v>0.77760497667185069</v>
      </c>
    </row>
    <row r="11" spans="1:12">
      <c r="A11" s="4"/>
      <c r="B11" s="4">
        <v>1.1000000000000001</v>
      </c>
      <c r="C11" s="4">
        <f t="shared" si="0"/>
        <v>1.9800000000000002</v>
      </c>
      <c r="D11" s="4">
        <f t="shared" si="3"/>
        <v>3.63</v>
      </c>
      <c r="E11" s="4">
        <f t="shared" si="4"/>
        <v>3.5200000000000005</v>
      </c>
      <c r="F11" s="10">
        <f>1/1.911</f>
        <v>0.52328623757195181</v>
      </c>
      <c r="G11" s="10">
        <f>Sheet2!G35</f>
        <v>0.62227753578095835</v>
      </c>
      <c r="H11" s="10">
        <f>1/1.494</f>
        <v>0.66934404283801874</v>
      </c>
      <c r="I11" s="10">
        <f>1/1.397</f>
        <v>0.71581961345740874</v>
      </c>
      <c r="J11" s="10">
        <f>1/1.315</f>
        <v>0.76045627376425862</v>
      </c>
      <c r="K11" s="10">
        <f>1/1.262</f>
        <v>0.79239302694136293</v>
      </c>
    </row>
    <row r="12" spans="1:12">
      <c r="A12" s="7" t="s">
        <v>2</v>
      </c>
      <c r="B12" s="7">
        <v>0.9</v>
      </c>
      <c r="C12" s="7">
        <f>1.8*B12</f>
        <v>1.62</v>
      </c>
      <c r="D12" s="7">
        <f>3.3*B12</f>
        <v>2.9699999999999998</v>
      </c>
      <c r="E12" s="7">
        <f>3.2*B12</f>
        <v>2.8800000000000003</v>
      </c>
      <c r="F12" s="12">
        <f>1/2.15</f>
        <v>0.46511627906976744</v>
      </c>
      <c r="G12" s="12">
        <f>Sheet2!G36</f>
        <v>0.52826201796090866</v>
      </c>
      <c r="H12" s="12">
        <f>1/1.784</f>
        <v>0.5605381165919282</v>
      </c>
      <c r="I12" s="12">
        <f>1/1.678</f>
        <v>0.59594755661501786</v>
      </c>
      <c r="J12" s="12">
        <f>1/1.6</f>
        <v>0.625</v>
      </c>
      <c r="K12" s="12">
        <f>1/1.545</f>
        <v>0.64724919093851141</v>
      </c>
    </row>
    <row r="13" spans="1:12">
      <c r="A13" s="7"/>
      <c r="B13" s="7">
        <v>0.95</v>
      </c>
      <c r="C13" s="7">
        <f t="shared" si="0"/>
        <v>1.71</v>
      </c>
      <c r="D13" s="7">
        <f t="shared" ref="D13:D16" si="5">3.3*B13</f>
        <v>3.1349999999999998</v>
      </c>
      <c r="E13" s="7">
        <f t="shared" ref="E13:E16" si="6">3.2*B13</f>
        <v>3.04</v>
      </c>
      <c r="F13" s="12">
        <f>1/1.978</f>
        <v>0.50556117290192115</v>
      </c>
      <c r="G13" s="12">
        <f>Sheet2!G37</f>
        <v>0.57077625570776258</v>
      </c>
      <c r="H13" s="12">
        <f>1/1.652</f>
        <v>0.60532687651331718</v>
      </c>
      <c r="I13" s="12">
        <f>1/1.551</f>
        <v>0.64474532559638942</v>
      </c>
      <c r="J13" s="12">
        <f>1/1.478</f>
        <v>0.67658998646820023</v>
      </c>
      <c r="K13" s="12">
        <f>1/1.426</f>
        <v>0.70126227208976155</v>
      </c>
    </row>
    <row r="14" spans="1:12">
      <c r="A14" s="7"/>
      <c r="B14" s="7">
        <v>1</v>
      </c>
      <c r="C14" s="7">
        <f t="shared" si="0"/>
        <v>1.8</v>
      </c>
      <c r="D14" s="7">
        <f t="shared" si="5"/>
        <v>3.3</v>
      </c>
      <c r="E14" s="7">
        <f t="shared" si="6"/>
        <v>3.2</v>
      </c>
      <c r="F14" s="12">
        <f>1/1.877</f>
        <v>0.53276505061267976</v>
      </c>
      <c r="G14" s="12">
        <f>Sheet2!G38</f>
        <v>0.60024009603841544</v>
      </c>
      <c r="H14" s="12">
        <f>1/1.572</f>
        <v>0.63613231552162852</v>
      </c>
      <c r="I14" s="12">
        <f>1/1.478</f>
        <v>0.67658998646820023</v>
      </c>
      <c r="J14" s="12">
        <f>1/1.408</f>
        <v>0.71022727272727282</v>
      </c>
      <c r="K14" s="12">
        <f>1/1.346</f>
        <v>0.74294205052005935</v>
      </c>
    </row>
    <row r="15" spans="1:12">
      <c r="A15" s="7"/>
      <c r="B15" s="7">
        <v>1.05</v>
      </c>
      <c r="C15" s="7">
        <f t="shared" si="0"/>
        <v>1.8900000000000001</v>
      </c>
      <c r="D15" s="7">
        <f t="shared" si="5"/>
        <v>3.4649999999999999</v>
      </c>
      <c r="E15" s="7">
        <f t="shared" si="6"/>
        <v>3.3600000000000003</v>
      </c>
      <c r="F15" s="12">
        <f>1/1.823</f>
        <v>0.54854635216675807</v>
      </c>
      <c r="G15" s="12">
        <f>Sheet2!G39</f>
        <v>0.61881188118811881</v>
      </c>
      <c r="H15" s="12">
        <f>1/1.526</f>
        <v>0.65530799475753598</v>
      </c>
      <c r="I15" s="12">
        <f>1/1.436</f>
        <v>0.69637883008356549</v>
      </c>
      <c r="J15" s="12">
        <f>1/1.363</f>
        <v>0.73367571533382248</v>
      </c>
      <c r="K15" s="12">
        <f>1/1.309</f>
        <v>0.76394194041252872</v>
      </c>
    </row>
    <row r="16" spans="1:12">
      <c r="A16" s="7"/>
      <c r="B16" s="7">
        <v>1.1000000000000001</v>
      </c>
      <c r="C16" s="7">
        <f t="shared" si="0"/>
        <v>1.9800000000000002</v>
      </c>
      <c r="D16" s="7">
        <f t="shared" si="5"/>
        <v>3.63</v>
      </c>
      <c r="E16" s="7">
        <f t="shared" si="6"/>
        <v>3.5200000000000005</v>
      </c>
      <c r="F16" s="13">
        <f>1/1.786</f>
        <v>0.55991041433370659</v>
      </c>
      <c r="G16" s="12">
        <f>Sheet2!G40</f>
        <v>0.63291139240506322</v>
      </c>
      <c r="H16" s="12">
        <f>1/1.493</f>
        <v>0.66979236436704614</v>
      </c>
      <c r="I16" s="12">
        <f>1/1.407</f>
        <v>0.71073205401563611</v>
      </c>
      <c r="J16" s="13">
        <f>1/1.336</f>
        <v>0.74850299401197595</v>
      </c>
      <c r="K16" s="12">
        <f>1/1.287</f>
        <v>0.77700077700077708</v>
      </c>
    </row>
    <row r="17" spans="1:11">
      <c r="A17" s="5" t="s">
        <v>3</v>
      </c>
      <c r="B17" s="5">
        <v>0.9</v>
      </c>
      <c r="C17" s="5">
        <f>1.8*B17</f>
        <v>1.62</v>
      </c>
      <c r="D17" s="5">
        <f>3.3*B17</f>
        <v>2.9699999999999998</v>
      </c>
      <c r="E17" s="5">
        <f>3.2*B17</f>
        <v>2.8800000000000003</v>
      </c>
      <c r="F17" s="14">
        <f>1/1.845</f>
        <v>0.5420054200542006</v>
      </c>
      <c r="G17" s="14">
        <f>Sheet2!G41</f>
        <v>0.56753688989784334</v>
      </c>
      <c r="H17" s="14">
        <f>1/1.719</f>
        <v>0.58173356602675974</v>
      </c>
      <c r="I17" s="14">
        <f>1/1.658</f>
        <v>0.60313630880579017</v>
      </c>
      <c r="J17" s="14">
        <f>1/1.603</f>
        <v>0.62383031815346224</v>
      </c>
      <c r="K17" s="14">
        <f>1/1.56</f>
        <v>0.64102564102564097</v>
      </c>
    </row>
    <row r="18" spans="1:11">
      <c r="A18" s="5"/>
      <c r="B18" s="5">
        <v>0.95</v>
      </c>
      <c r="C18" s="5">
        <f t="shared" si="0"/>
        <v>1.71</v>
      </c>
      <c r="D18" s="5">
        <f t="shared" ref="D18:D21" si="7">3.3*B18</f>
        <v>3.1349999999999998</v>
      </c>
      <c r="E18" s="5">
        <f t="shared" ref="E18:E21" si="8">3.2*B18</f>
        <v>3.04</v>
      </c>
      <c r="F18" s="15">
        <f>1/1.7</f>
        <v>0.58823529411764708</v>
      </c>
      <c r="G18" s="14">
        <f>Sheet2!G42</f>
        <v>0.61236987140232702</v>
      </c>
      <c r="H18" s="14">
        <f>1/1.587</f>
        <v>0.63011972274732198</v>
      </c>
      <c r="I18" s="14">
        <f>1/1.528</f>
        <v>0.65445026178010468</v>
      </c>
      <c r="J18" s="14">
        <f>1/1.478</f>
        <v>0.67658998646820023</v>
      </c>
      <c r="K18" s="14">
        <f>1/1.439</f>
        <v>0.69492703266157052</v>
      </c>
    </row>
    <row r="19" spans="1:11">
      <c r="A19" s="5"/>
      <c r="B19" s="5">
        <v>1</v>
      </c>
      <c r="C19" s="5">
        <f t="shared" si="0"/>
        <v>1.8</v>
      </c>
      <c r="D19" s="5">
        <f t="shared" si="7"/>
        <v>3.3</v>
      </c>
      <c r="E19" s="5">
        <f t="shared" si="8"/>
        <v>3.2</v>
      </c>
      <c r="F19" s="14">
        <f>1/1.645</f>
        <v>0.60790273556231</v>
      </c>
      <c r="G19" s="14">
        <f>Sheet2!G43</f>
        <v>0.6402048655569782</v>
      </c>
      <c r="H19" s="14">
        <f>1/1.515</f>
        <v>0.66006600660066006</v>
      </c>
      <c r="I19" s="14">
        <f>1/1.454</f>
        <v>0.68775790921595603</v>
      </c>
      <c r="J19" s="14">
        <f>1/1.407</f>
        <v>0.71073205401563611</v>
      </c>
      <c r="K19" s="14">
        <f>1/1.361</f>
        <v>0.73475385745775168</v>
      </c>
    </row>
    <row r="20" spans="1:11">
      <c r="A20" s="5"/>
      <c r="B20" s="5">
        <v>1.05</v>
      </c>
      <c r="C20" s="5">
        <f t="shared" si="0"/>
        <v>1.8900000000000001</v>
      </c>
      <c r="D20" s="5">
        <f t="shared" si="7"/>
        <v>3.4649999999999999</v>
      </c>
      <c r="E20" s="5">
        <f t="shared" si="8"/>
        <v>3.3600000000000003</v>
      </c>
      <c r="F20" s="14">
        <f>1/1.615</f>
        <v>0.61919504643962853</v>
      </c>
      <c r="G20" s="14">
        <f>Sheet2!G44</f>
        <v>0.65616797900262469</v>
      </c>
      <c r="H20" s="14">
        <f>1/1.475</f>
        <v>0.67796610169491522</v>
      </c>
      <c r="I20" s="15">
        <f>1/1.416</f>
        <v>0.70621468926553677</v>
      </c>
      <c r="J20" s="14">
        <f>1/1.365</f>
        <v>0.73260073260073255</v>
      </c>
      <c r="K20" s="14">
        <f>1/1.324</f>
        <v>0.75528700906344404</v>
      </c>
    </row>
    <row r="21" spans="1:11">
      <c r="A21" s="5"/>
      <c r="B21" s="5">
        <v>1.1000000000000001</v>
      </c>
      <c r="C21" s="5">
        <f t="shared" si="0"/>
        <v>1.9800000000000002</v>
      </c>
      <c r="D21" s="5">
        <f t="shared" si="7"/>
        <v>3.63</v>
      </c>
      <c r="E21" s="5">
        <f t="shared" si="8"/>
        <v>3.5200000000000005</v>
      </c>
      <c r="F21" s="14">
        <f>1/1.591</f>
        <v>0.62853551225644255</v>
      </c>
      <c r="G21" s="14">
        <f>Sheet2!G45</f>
        <v>0.66755674232309747</v>
      </c>
      <c r="H21" s="14">
        <f>1/1.45</f>
        <v>0.68965517241379315</v>
      </c>
      <c r="I21" s="14">
        <f>1/1.39</f>
        <v>0.71942446043165476</v>
      </c>
      <c r="J21" s="14">
        <f>1/1.342</f>
        <v>0.7451564828614009</v>
      </c>
      <c r="K21" s="14">
        <f>1/1.304</f>
        <v>0.76687116564417179</v>
      </c>
    </row>
    <row r="71" spans="1:12">
      <c r="A71" s="2" t="s">
        <v>11</v>
      </c>
      <c r="B71" s="2" t="s">
        <v>7</v>
      </c>
      <c r="C71" s="2" t="s">
        <v>8</v>
      </c>
      <c r="D71" s="2" t="s">
        <v>9</v>
      </c>
      <c r="E71" s="2" t="s">
        <v>10</v>
      </c>
      <c r="F71" s="2">
        <v>20</v>
      </c>
      <c r="G71" s="2">
        <v>44</v>
      </c>
      <c r="H71" s="2">
        <v>60</v>
      </c>
      <c r="I71" s="2">
        <v>75</v>
      </c>
      <c r="J71" s="2">
        <v>100</v>
      </c>
      <c r="K71" s="2">
        <v>125</v>
      </c>
      <c r="L71" t="s">
        <v>20</v>
      </c>
    </row>
    <row r="72" spans="1:12" s="3" customFormat="1">
      <c r="A72" s="3" t="s">
        <v>0</v>
      </c>
      <c r="B72" s="3">
        <v>0.9</v>
      </c>
      <c r="C72" s="3">
        <f>1.8*B72</f>
        <v>1.62</v>
      </c>
      <c r="D72" s="3">
        <f>3.3*B72</f>
        <v>2.9699999999999998</v>
      </c>
      <c r="E72" s="3">
        <f>3.2*B72</f>
        <v>2.8800000000000003</v>
      </c>
      <c r="F72" s="8">
        <f>1/2.506</f>
        <v>0.39904229848363931</v>
      </c>
      <c r="G72" s="8">
        <f>Sheet2!G3</f>
        <v>0.51493305870236872</v>
      </c>
      <c r="H72" s="8">
        <f>1/1.771</f>
        <v>0.56465273856578202</v>
      </c>
      <c r="I72" s="8">
        <f>1/1.661</f>
        <v>0.60204695966285371</v>
      </c>
      <c r="J72" s="8">
        <f>1/1.567</f>
        <v>0.63816209317166561</v>
      </c>
      <c r="K72" s="8">
        <f>1/1.512</f>
        <v>0.66137566137566139</v>
      </c>
    </row>
    <row r="73" spans="1:12" s="4" customFormat="1">
      <c r="A73" s="4" t="s">
        <v>1</v>
      </c>
      <c r="B73" s="4">
        <v>0.9</v>
      </c>
      <c r="C73" s="4">
        <f>1.8*B73</f>
        <v>1.62</v>
      </c>
      <c r="D73" s="4">
        <f>3.3*B73</f>
        <v>2.9699999999999998</v>
      </c>
      <c r="E73" s="4">
        <f>3.2*B73</f>
        <v>2.8800000000000003</v>
      </c>
      <c r="F73" s="10">
        <f>1/2.331</f>
        <v>0.42900042900042901</v>
      </c>
      <c r="G73" s="10">
        <f>Sheet2!G4</f>
        <v>0.51334702258726905</v>
      </c>
      <c r="H73" s="10">
        <f>1/1.809</f>
        <v>0.55279159756771701</v>
      </c>
      <c r="I73" s="11">
        <f>1/1.691</f>
        <v>0.59136605558840916</v>
      </c>
      <c r="J73" s="10">
        <f>1/1.603</f>
        <v>0.62383031815346224</v>
      </c>
      <c r="K73" s="10">
        <f>1/1.546</f>
        <v>0.64683053040103489</v>
      </c>
    </row>
    <row r="74" spans="1:12" s="7" customFormat="1">
      <c r="A74" s="7" t="s">
        <v>2</v>
      </c>
      <c r="B74" s="7">
        <v>0.9</v>
      </c>
      <c r="C74" s="7">
        <f>1.8*B74</f>
        <v>1.62</v>
      </c>
      <c r="D74" s="7">
        <f>3.3*B74</f>
        <v>2.9699999999999998</v>
      </c>
      <c r="E74" s="7">
        <f>3.2*B74</f>
        <v>2.8800000000000003</v>
      </c>
      <c r="F74" s="12">
        <f>1/2.15</f>
        <v>0.46511627906976744</v>
      </c>
      <c r="G74" s="12">
        <f>Sheet2!G5</f>
        <v>0.52826201796090866</v>
      </c>
      <c r="H74" s="12">
        <f>1/1.784</f>
        <v>0.5605381165919282</v>
      </c>
      <c r="I74" s="12">
        <f>1/1.678</f>
        <v>0.59594755661501786</v>
      </c>
      <c r="J74" s="12">
        <f>1/1.6</f>
        <v>0.625</v>
      </c>
      <c r="K74" s="12">
        <f>1/1.545</f>
        <v>0.64724919093851141</v>
      </c>
    </row>
    <row r="75" spans="1:12" s="5" customFormat="1">
      <c r="A75" s="5" t="s">
        <v>3</v>
      </c>
      <c r="B75" s="5">
        <v>0.9</v>
      </c>
      <c r="C75" s="5">
        <f>1.8*B75</f>
        <v>1.62</v>
      </c>
      <c r="D75" s="5">
        <f>3.3*B75</f>
        <v>2.9699999999999998</v>
      </c>
      <c r="E75" s="5">
        <f>3.2*B75</f>
        <v>2.8800000000000003</v>
      </c>
      <c r="F75" s="14">
        <f>1/1.845</f>
        <v>0.5420054200542006</v>
      </c>
      <c r="G75" s="14">
        <f>Sheet2!G6</f>
        <v>0.56753688989784334</v>
      </c>
      <c r="H75" s="14">
        <f>1/1.719</f>
        <v>0.58173356602675974</v>
      </c>
      <c r="I75" s="14">
        <f>1/1.658</f>
        <v>0.60313630880579017</v>
      </c>
      <c r="J75" s="14">
        <f>1/1.603</f>
        <v>0.62383031815346224</v>
      </c>
      <c r="K75" s="14">
        <f>1/1.56</f>
        <v>0.64102564102564097</v>
      </c>
    </row>
    <row r="76" spans="1:12">
      <c r="A76" s="3" t="s">
        <v>0</v>
      </c>
      <c r="B76" s="3">
        <v>0.95</v>
      </c>
      <c r="C76" s="3">
        <f t="shared" ref="C76:C83" si="9">1.8*B76</f>
        <v>1.71</v>
      </c>
      <c r="D76" s="3">
        <f t="shared" ref="D76:D83" si="10">3.3*B76</f>
        <v>3.1349999999999998</v>
      </c>
      <c r="E76" s="3">
        <f t="shared" ref="E76:E83" si="11">3.2*B76</f>
        <v>3.04</v>
      </c>
      <c r="F76" s="9">
        <f>1/2.318</f>
        <v>0.43140638481449523</v>
      </c>
      <c r="G76" s="8">
        <f>Sheet2!G7</f>
        <v>0.5558643690939411</v>
      </c>
      <c r="H76" s="8">
        <f>1/1.638</f>
        <v>0.61050061050061055</v>
      </c>
      <c r="I76" s="8">
        <f>1/1.53</f>
        <v>0.65359477124183007</v>
      </c>
      <c r="J76" s="8">
        <f>1/1.437</f>
        <v>0.6958942240779401</v>
      </c>
      <c r="K76" s="8">
        <f>1/1.358</f>
        <v>0.73637702503681879</v>
      </c>
    </row>
    <row r="77" spans="1:12" s="4" customFormat="1">
      <c r="A77" s="4" t="s">
        <v>1</v>
      </c>
      <c r="B77" s="4">
        <v>0.95</v>
      </c>
      <c r="C77" s="4">
        <f t="shared" si="9"/>
        <v>1.71</v>
      </c>
      <c r="D77" s="4">
        <f t="shared" si="10"/>
        <v>3.1349999999999998</v>
      </c>
      <c r="E77" s="4">
        <f t="shared" si="11"/>
        <v>3.04</v>
      </c>
      <c r="F77" s="10">
        <f>1/2.144</f>
        <v>0.46641791044776115</v>
      </c>
      <c r="G77" s="10">
        <f>Sheet2!G8</f>
        <v>0.55524708495280406</v>
      </c>
      <c r="H77" s="11">
        <f>1/1.67</f>
        <v>0.5988023952095809</v>
      </c>
      <c r="I77" s="10">
        <f>1/1.558</f>
        <v>0.64184852374839541</v>
      </c>
      <c r="J77" s="10">
        <f>1/1.472</f>
        <v>0.67934782608695654</v>
      </c>
      <c r="K77" s="10">
        <f>1/1.416</f>
        <v>0.70621468926553677</v>
      </c>
    </row>
    <row r="78" spans="1:12" s="7" customFormat="1">
      <c r="A78" s="7" t="s">
        <v>2</v>
      </c>
      <c r="B78" s="7">
        <v>0.95</v>
      </c>
      <c r="C78" s="7">
        <f t="shared" si="9"/>
        <v>1.71</v>
      </c>
      <c r="D78" s="7">
        <f t="shared" si="10"/>
        <v>3.1349999999999998</v>
      </c>
      <c r="E78" s="7">
        <f t="shared" si="11"/>
        <v>3.04</v>
      </c>
      <c r="F78" s="12">
        <f>1/1.978</f>
        <v>0.50556117290192115</v>
      </c>
      <c r="G78" s="12">
        <f>Sheet2!G9</f>
        <v>0.57077625570776258</v>
      </c>
      <c r="H78" s="12">
        <f>1/1.652</f>
        <v>0.60532687651331718</v>
      </c>
      <c r="I78" s="12">
        <f>1/1.551</f>
        <v>0.64474532559638942</v>
      </c>
      <c r="J78" s="12">
        <f>1/1.478</f>
        <v>0.67658998646820023</v>
      </c>
      <c r="K78" s="12">
        <f>1/1.426</f>
        <v>0.70126227208976155</v>
      </c>
    </row>
    <row r="79" spans="1:12" s="5" customFormat="1">
      <c r="A79" s="5" t="s">
        <v>3</v>
      </c>
      <c r="B79" s="5">
        <v>0.95</v>
      </c>
      <c r="C79" s="5">
        <f t="shared" si="9"/>
        <v>1.71</v>
      </c>
      <c r="D79" s="5">
        <f t="shared" si="10"/>
        <v>3.1349999999999998</v>
      </c>
      <c r="E79" s="5">
        <f t="shared" si="11"/>
        <v>3.04</v>
      </c>
      <c r="F79" s="15">
        <f>1/1.7</f>
        <v>0.58823529411764708</v>
      </c>
      <c r="G79" s="14">
        <f>Sheet2!G10</f>
        <v>0.61236987140232702</v>
      </c>
      <c r="H79" s="14">
        <f>1/1.587</f>
        <v>0.63011972274732198</v>
      </c>
      <c r="I79" s="14">
        <f>1/1.528</f>
        <v>0.65445026178010468</v>
      </c>
      <c r="J79" s="14">
        <f>1/1.478</f>
        <v>0.67658998646820023</v>
      </c>
      <c r="K79" s="14">
        <f>1/1.439</f>
        <v>0.69492703266157052</v>
      </c>
    </row>
    <row r="80" spans="1:12">
      <c r="A80" s="3" t="s">
        <v>0</v>
      </c>
      <c r="B80" s="3">
        <v>1</v>
      </c>
      <c r="C80" s="3">
        <f t="shared" si="9"/>
        <v>1.8</v>
      </c>
      <c r="D80" s="3">
        <f t="shared" si="10"/>
        <v>3.3</v>
      </c>
      <c r="E80" s="3">
        <f t="shared" si="11"/>
        <v>3.2</v>
      </c>
      <c r="F80" s="8">
        <f>1/2.194</f>
        <v>0.45578851412944393</v>
      </c>
      <c r="G80" s="8">
        <f>Sheet2!G11</f>
        <v>0.58616647127784294</v>
      </c>
      <c r="H80" s="8">
        <f>1/1.554</f>
        <v>0.64350064350064351</v>
      </c>
      <c r="I80" s="8">
        <f>1/1.445</f>
        <v>0.69204152249134943</v>
      </c>
      <c r="J80" s="8">
        <f>1/1.348</f>
        <v>0.74183976261127593</v>
      </c>
      <c r="K80" s="8">
        <f>1/1.281</f>
        <v>0.78064012490242007</v>
      </c>
    </row>
    <row r="81" spans="1:11" s="4" customFormat="1">
      <c r="A81" s="4" t="s">
        <v>1</v>
      </c>
      <c r="B81" s="4">
        <v>1</v>
      </c>
      <c r="C81" s="4">
        <f t="shared" si="9"/>
        <v>1.8</v>
      </c>
      <c r="D81" s="4">
        <f t="shared" si="10"/>
        <v>3.3</v>
      </c>
      <c r="E81" s="4">
        <f t="shared" si="11"/>
        <v>3.2</v>
      </c>
      <c r="F81" s="10">
        <f>1/2.028</f>
        <v>0.49309664694280081</v>
      </c>
      <c r="G81" s="10">
        <f>Sheet2!G12</f>
        <v>0.58548009367681497</v>
      </c>
      <c r="H81" s="10">
        <f>1/1.585</f>
        <v>0.63091482649842268</v>
      </c>
      <c r="I81" s="10">
        <f>1/1.478</f>
        <v>0.67658998646820023</v>
      </c>
      <c r="J81" s="10">
        <f>1/1.392</f>
        <v>0.71839080459770122</v>
      </c>
      <c r="K81" s="10">
        <f>1/1.324</f>
        <v>0.75528700906344404</v>
      </c>
    </row>
    <row r="82" spans="1:11" s="7" customFormat="1">
      <c r="A82" s="7" t="s">
        <v>2</v>
      </c>
      <c r="B82" s="7">
        <v>1</v>
      </c>
      <c r="C82" s="7">
        <f t="shared" si="9"/>
        <v>1.8</v>
      </c>
      <c r="D82" s="7">
        <f t="shared" si="10"/>
        <v>3.3</v>
      </c>
      <c r="E82" s="7">
        <f t="shared" si="11"/>
        <v>3.2</v>
      </c>
      <c r="F82" s="12">
        <f>1/1.877</f>
        <v>0.53276505061267976</v>
      </c>
      <c r="G82" s="12">
        <f>Sheet2!G13</f>
        <v>0.60024009603841544</v>
      </c>
      <c r="H82" s="12">
        <f>1/1.572</f>
        <v>0.63613231552162852</v>
      </c>
      <c r="I82" s="12">
        <f>1/1.478</f>
        <v>0.67658998646820023</v>
      </c>
      <c r="J82" s="12">
        <f>1/1.408</f>
        <v>0.71022727272727282</v>
      </c>
      <c r="K82" s="12">
        <f>1/1.346</f>
        <v>0.74294205052005935</v>
      </c>
    </row>
    <row r="83" spans="1:11" s="5" customFormat="1">
      <c r="A83" s="5" t="s">
        <v>3</v>
      </c>
      <c r="B83" s="5">
        <v>1</v>
      </c>
      <c r="C83" s="5">
        <f t="shared" si="9"/>
        <v>1.8</v>
      </c>
      <c r="D83" s="5">
        <f t="shared" si="10"/>
        <v>3.3</v>
      </c>
      <c r="E83" s="5">
        <f t="shared" si="11"/>
        <v>3.2</v>
      </c>
      <c r="F83" s="14">
        <f>1/1.645</f>
        <v>0.60790273556231</v>
      </c>
      <c r="G83" s="14">
        <f>Sheet2!G14</f>
        <v>0.6402048655569782</v>
      </c>
      <c r="H83" s="14">
        <f>1/1.515</f>
        <v>0.66006600660066006</v>
      </c>
      <c r="I83" s="14">
        <f>1/1.454</f>
        <v>0.68775790921595603</v>
      </c>
      <c r="J83" s="14">
        <f>1/1.407</f>
        <v>0.71073205401563611</v>
      </c>
      <c r="K83" s="14">
        <f>1/1.361</f>
        <v>0.73475385745775168</v>
      </c>
    </row>
    <row r="84" spans="1:11">
      <c r="A84" s="3" t="s">
        <v>0</v>
      </c>
      <c r="B84" s="3">
        <v>1.05</v>
      </c>
      <c r="C84" s="3">
        <f t="shared" ref="C84:C87" si="12">1.8*B84</f>
        <v>1.8900000000000001</v>
      </c>
      <c r="D84" s="3">
        <f t="shared" ref="D84:D87" si="13">3.3*B84</f>
        <v>3.4649999999999999</v>
      </c>
      <c r="E84" s="3">
        <f t="shared" ref="E84:E87" si="14">3.2*B84</f>
        <v>3.3600000000000003</v>
      </c>
      <c r="F84" s="8">
        <f>1/2.11</f>
        <v>0.47393364928909953</v>
      </c>
      <c r="G84" s="8">
        <f>Sheet2!G15</f>
        <v>0.6082725060827251</v>
      </c>
      <c r="H84" s="8">
        <f>1/1.5</f>
        <v>0.66666666666666663</v>
      </c>
      <c r="I84" s="8">
        <f>1/1.402</f>
        <v>0.71326676176890158</v>
      </c>
      <c r="J84" s="8">
        <f>1/1.305</f>
        <v>0.76628352490421459</v>
      </c>
      <c r="K84" s="8">
        <f>1/1.248</f>
        <v>0.80128205128205132</v>
      </c>
    </row>
    <row r="85" spans="1:11" s="4" customFormat="1">
      <c r="A85" s="4" t="s">
        <v>1</v>
      </c>
      <c r="B85" s="4">
        <v>1.05</v>
      </c>
      <c r="C85" s="4">
        <f t="shared" si="12"/>
        <v>1.8900000000000001</v>
      </c>
      <c r="D85" s="4">
        <f t="shared" si="13"/>
        <v>3.4649999999999999</v>
      </c>
      <c r="E85" s="4">
        <f t="shared" si="14"/>
        <v>3.3600000000000003</v>
      </c>
      <c r="F85" s="10">
        <f>1/1.96</f>
        <v>0.51020408163265307</v>
      </c>
      <c r="G85" s="10">
        <f>Sheet2!G16</f>
        <v>0.60642813826561548</v>
      </c>
      <c r="H85" s="10">
        <f>1/1.532</f>
        <v>0.65274151436031336</v>
      </c>
      <c r="I85" s="10">
        <f>1/1.43</f>
        <v>0.69930069930069938</v>
      </c>
      <c r="J85" s="10">
        <f>1/1.343</f>
        <v>0.74460163812360391</v>
      </c>
      <c r="K85" s="10">
        <f>1/1.286</f>
        <v>0.77760497667185069</v>
      </c>
    </row>
    <row r="86" spans="1:11" s="7" customFormat="1">
      <c r="A86" s="7" t="s">
        <v>2</v>
      </c>
      <c r="B86" s="7">
        <v>1.05</v>
      </c>
      <c r="C86" s="7">
        <f t="shared" si="12"/>
        <v>1.8900000000000001</v>
      </c>
      <c r="D86" s="7">
        <f t="shared" si="13"/>
        <v>3.4649999999999999</v>
      </c>
      <c r="E86" s="7">
        <f t="shared" si="14"/>
        <v>3.3600000000000003</v>
      </c>
      <c r="F86" s="12">
        <f>1/1.823</f>
        <v>0.54854635216675807</v>
      </c>
      <c r="G86" s="12">
        <f>Sheet2!G17</f>
        <v>0.61881188118811881</v>
      </c>
      <c r="H86" s="12">
        <f>1/1.526</f>
        <v>0.65530799475753598</v>
      </c>
      <c r="I86" s="12">
        <f>1/1.436</f>
        <v>0.69637883008356549</v>
      </c>
      <c r="J86" s="12">
        <f>1/1.363</f>
        <v>0.73367571533382248</v>
      </c>
      <c r="K86" s="12">
        <f>1/1.309</f>
        <v>0.76394194041252872</v>
      </c>
    </row>
    <row r="87" spans="1:11" s="5" customFormat="1">
      <c r="A87" s="5" t="s">
        <v>3</v>
      </c>
      <c r="B87" s="5">
        <v>1.05</v>
      </c>
      <c r="C87" s="5">
        <f t="shared" si="12"/>
        <v>1.8900000000000001</v>
      </c>
      <c r="D87" s="5">
        <f t="shared" si="13"/>
        <v>3.4649999999999999</v>
      </c>
      <c r="E87" s="5">
        <f t="shared" si="14"/>
        <v>3.3600000000000003</v>
      </c>
      <c r="F87" s="14">
        <f>1/1.615</f>
        <v>0.61919504643962853</v>
      </c>
      <c r="G87" s="14">
        <f>Sheet2!G18</f>
        <v>0.65616797900262469</v>
      </c>
      <c r="H87" s="14">
        <f>1/1.475</f>
        <v>0.67796610169491522</v>
      </c>
      <c r="I87" s="15">
        <f>1/1.416</f>
        <v>0.70621468926553677</v>
      </c>
      <c r="J87" s="14">
        <f>1/1.365</f>
        <v>0.73260073260073255</v>
      </c>
      <c r="K87" s="14">
        <f>1/1.324</f>
        <v>0.75528700906344404</v>
      </c>
    </row>
    <row r="88" spans="1:11">
      <c r="A88" s="3" t="s">
        <v>0</v>
      </c>
      <c r="B88" s="3">
        <v>1.1000000000000001</v>
      </c>
      <c r="C88" s="3">
        <f t="shared" ref="C88:C91" si="15">1.8*B88</f>
        <v>1.9800000000000002</v>
      </c>
      <c r="D88" s="3">
        <f t="shared" ref="D88:D91" si="16">3.3*B88</f>
        <v>3.63</v>
      </c>
      <c r="E88" s="3">
        <f t="shared" ref="E88:E91" si="17">3.2*B88</f>
        <v>3.5200000000000005</v>
      </c>
      <c r="F88" s="9">
        <f>1/2.046</f>
        <v>0.48875855327468237</v>
      </c>
      <c r="G88" s="8">
        <f>Sheet2!G19</f>
        <v>0.62578222778473092</v>
      </c>
      <c r="H88" s="8">
        <f>1/1.46</f>
        <v>0.68493150684931503</v>
      </c>
      <c r="I88" s="8">
        <f>1/1.364</f>
        <v>0.73313782991202336</v>
      </c>
      <c r="J88" s="8">
        <f>1/1.281</f>
        <v>0.78064012490242007</v>
      </c>
      <c r="K88" s="8">
        <f>1/1.227</f>
        <v>0.81499592502037488</v>
      </c>
    </row>
    <row r="89" spans="1:11" s="4" customFormat="1">
      <c r="A89" s="4" t="s">
        <v>1</v>
      </c>
      <c r="B89" s="4">
        <v>1.1000000000000001</v>
      </c>
      <c r="C89" s="4">
        <f t="shared" si="15"/>
        <v>1.9800000000000002</v>
      </c>
      <c r="D89" s="4">
        <f t="shared" si="16"/>
        <v>3.63</v>
      </c>
      <c r="E89" s="4">
        <f t="shared" si="17"/>
        <v>3.5200000000000005</v>
      </c>
      <c r="F89" s="10">
        <f>1/1.911</f>
        <v>0.52328623757195181</v>
      </c>
      <c r="G89" s="10">
        <f>Sheet2!G20</f>
        <v>0.62227753578095835</v>
      </c>
      <c r="H89" s="10">
        <f>1/1.494</f>
        <v>0.66934404283801874</v>
      </c>
      <c r="I89" s="10">
        <f>1/1.397</f>
        <v>0.71581961345740874</v>
      </c>
      <c r="J89" s="10">
        <f>1/1.315</f>
        <v>0.76045627376425862</v>
      </c>
      <c r="K89" s="10">
        <f>1/1.262</f>
        <v>0.79239302694136293</v>
      </c>
    </row>
    <row r="90" spans="1:11" s="7" customFormat="1">
      <c r="A90" s="7" t="s">
        <v>2</v>
      </c>
      <c r="B90" s="7">
        <v>1.1000000000000001</v>
      </c>
      <c r="C90" s="7">
        <f t="shared" si="15"/>
        <v>1.9800000000000002</v>
      </c>
      <c r="D90" s="7">
        <f t="shared" si="16"/>
        <v>3.63</v>
      </c>
      <c r="E90" s="7">
        <f t="shared" si="17"/>
        <v>3.5200000000000005</v>
      </c>
      <c r="F90" s="13">
        <f>1/1.786</f>
        <v>0.55991041433370659</v>
      </c>
      <c r="G90" s="12">
        <f>Sheet2!G21</f>
        <v>0.63291139240506322</v>
      </c>
      <c r="H90" s="12">
        <f>1/1.493</f>
        <v>0.66979236436704614</v>
      </c>
      <c r="I90" s="12">
        <f>1/1.407</f>
        <v>0.71073205401563611</v>
      </c>
      <c r="J90" s="13">
        <f>1/1.336</f>
        <v>0.74850299401197595</v>
      </c>
      <c r="K90" s="12">
        <f>1/1.287</f>
        <v>0.77700077700077708</v>
      </c>
    </row>
    <row r="91" spans="1:11" s="5" customFormat="1">
      <c r="A91" s="5" t="s">
        <v>3</v>
      </c>
      <c r="B91" s="5">
        <v>1.1000000000000001</v>
      </c>
      <c r="C91" s="5">
        <f t="shared" si="15"/>
        <v>1.9800000000000002</v>
      </c>
      <c r="D91" s="5">
        <f t="shared" si="16"/>
        <v>3.63</v>
      </c>
      <c r="E91" s="5">
        <f t="shared" si="17"/>
        <v>3.5200000000000005</v>
      </c>
      <c r="F91" s="14">
        <f>1/1.591</f>
        <v>0.62853551225644255</v>
      </c>
      <c r="G91" s="14">
        <f>Sheet2!G22</f>
        <v>0.66755674232309747</v>
      </c>
      <c r="H91" s="14">
        <f>1/1.45</f>
        <v>0.68965517241379315</v>
      </c>
      <c r="I91" s="14">
        <f>1/1.39</f>
        <v>0.71942446043165476</v>
      </c>
      <c r="J91" s="14">
        <f>1/1.342</f>
        <v>0.7451564828614009</v>
      </c>
      <c r="K91" s="14">
        <f>1/1.304</f>
        <v>0.76687116564417179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1"/>
  <sheetViews>
    <sheetView topLeftCell="A34" workbookViewId="0">
      <selection activeCell="J23" sqref="J23"/>
    </sheetView>
  </sheetViews>
  <sheetFormatPr baseColWidth="10" defaultRowHeight="14" x14ac:dyDescent="0"/>
  <cols>
    <col min="1" max="1" width="12.1640625" bestFit="1" customWidth="1"/>
  </cols>
  <sheetData>
    <row r="1" spans="1:11">
      <c r="A1" t="s">
        <v>22</v>
      </c>
      <c r="B1" t="s">
        <v>21</v>
      </c>
      <c r="D1" t="s">
        <v>23</v>
      </c>
      <c r="E1" t="s">
        <v>35</v>
      </c>
      <c r="F1" t="s">
        <v>36</v>
      </c>
      <c r="G1" t="s">
        <v>38</v>
      </c>
      <c r="H1" t="s">
        <v>37</v>
      </c>
      <c r="J1" t="s">
        <v>39</v>
      </c>
      <c r="K1" t="s">
        <v>36</v>
      </c>
    </row>
    <row r="2" spans="1:11">
      <c r="A2">
        <v>0</v>
      </c>
      <c r="B2">
        <v>0.33839999999999998</v>
      </c>
      <c r="D2">
        <v>3.8699999999999998E-2</v>
      </c>
      <c r="E2">
        <v>0.75</v>
      </c>
      <c r="G2">
        <f>E2^2</f>
        <v>0.5625</v>
      </c>
      <c r="J2">
        <v>0.74819999999999998</v>
      </c>
    </row>
    <row r="3" spans="1:11">
      <c r="A3">
        <v>1</v>
      </c>
      <c r="B3">
        <v>0.36180000000000001</v>
      </c>
      <c r="C3">
        <f>B3-B2</f>
        <v>2.3400000000000032E-2</v>
      </c>
      <c r="D3">
        <v>4.0099999999999997E-2</v>
      </c>
      <c r="E3">
        <v>0.67</v>
      </c>
      <c r="F3">
        <f>D3-D2</f>
        <v>1.3999999999999985E-3</v>
      </c>
      <c r="G3">
        <f t="shared" ref="G3:G30" si="0">E3^2</f>
        <v>0.44890000000000008</v>
      </c>
      <c r="H3">
        <f>E3-E2</f>
        <v>-7.999999999999996E-2</v>
      </c>
      <c r="J3">
        <v>0.78159999999999996</v>
      </c>
      <c r="K3">
        <f>J3-J2</f>
        <v>3.3399999999999985E-2</v>
      </c>
    </row>
    <row r="4" spans="1:11">
      <c r="A4">
        <v>2</v>
      </c>
      <c r="B4">
        <v>0.38200000000000001</v>
      </c>
      <c r="C4">
        <f t="shared" ref="C4:C45" si="1">B4-B3</f>
        <v>2.0199999999999996E-2</v>
      </c>
      <c r="D4">
        <v>4.1599999999999998E-2</v>
      </c>
      <c r="E4">
        <v>0.81</v>
      </c>
      <c r="F4">
        <f t="shared" ref="F4:F33" si="2">D4-D3</f>
        <v>1.5000000000000013E-3</v>
      </c>
      <c r="G4">
        <f t="shared" si="0"/>
        <v>0.65610000000000013</v>
      </c>
      <c r="H4">
        <f>E4-E3</f>
        <v>0.14000000000000001</v>
      </c>
      <c r="J4">
        <v>0.81850000000000001</v>
      </c>
      <c r="K4">
        <f t="shared" ref="K4:K22" si="3">J4-J3</f>
        <v>3.6900000000000044E-2</v>
      </c>
    </row>
    <row r="5" spans="1:11">
      <c r="A5">
        <v>3</v>
      </c>
      <c r="B5">
        <v>0.40339999999999998</v>
      </c>
      <c r="C5">
        <f t="shared" si="1"/>
        <v>2.1399999999999975E-2</v>
      </c>
      <c r="D5">
        <v>4.3200000000000002E-2</v>
      </c>
      <c r="E5">
        <v>0.8</v>
      </c>
      <c r="F5">
        <f t="shared" si="2"/>
        <v>1.6000000000000042E-3</v>
      </c>
      <c r="G5">
        <f t="shared" si="0"/>
        <v>0.64000000000000012</v>
      </c>
      <c r="H5">
        <f>E5-E4</f>
        <v>-1.0000000000000009E-2</v>
      </c>
      <c r="J5">
        <v>0.85399999999999998</v>
      </c>
      <c r="K5">
        <f t="shared" si="3"/>
        <v>3.5499999999999976E-2</v>
      </c>
    </row>
    <row r="6" spans="1:11">
      <c r="A6">
        <v>4</v>
      </c>
      <c r="B6">
        <v>0.42559999999999998</v>
      </c>
      <c r="C6">
        <f t="shared" si="1"/>
        <v>2.2199999999999998E-2</v>
      </c>
      <c r="D6">
        <v>4.4900000000000002E-2</v>
      </c>
      <c r="E6">
        <v>1.07</v>
      </c>
      <c r="F6">
        <f t="shared" si="2"/>
        <v>1.7000000000000001E-3</v>
      </c>
      <c r="G6">
        <f t="shared" si="0"/>
        <v>1.1449</v>
      </c>
      <c r="H6">
        <f>E6-E5</f>
        <v>0.27</v>
      </c>
      <c r="J6">
        <v>0.89039999999999997</v>
      </c>
      <c r="K6">
        <f t="shared" si="3"/>
        <v>3.6399999999999988E-2</v>
      </c>
    </row>
    <row r="7" spans="1:11">
      <c r="A7">
        <v>5</v>
      </c>
      <c r="B7">
        <v>0.44579999999999997</v>
      </c>
      <c r="C7">
        <f t="shared" si="1"/>
        <v>2.0199999999999996E-2</v>
      </c>
      <c r="D7">
        <v>4.6399999999999997E-2</v>
      </c>
      <c r="E7">
        <v>0.91</v>
      </c>
      <c r="F7">
        <f t="shared" si="2"/>
        <v>1.4999999999999944E-3</v>
      </c>
      <c r="G7">
        <f t="shared" si="0"/>
        <v>0.82810000000000006</v>
      </c>
      <c r="H7">
        <f>E7-E6</f>
        <v>-0.16000000000000003</v>
      </c>
      <c r="J7">
        <v>0.92449999999999999</v>
      </c>
      <c r="K7">
        <f t="shared" si="3"/>
        <v>3.4100000000000019E-2</v>
      </c>
    </row>
    <row r="8" spans="1:11">
      <c r="A8">
        <v>6</v>
      </c>
      <c r="B8">
        <v>0.46750000000000003</v>
      </c>
      <c r="C8">
        <f t="shared" si="1"/>
        <v>2.1700000000000053E-2</v>
      </c>
      <c r="D8">
        <v>4.8099999999999997E-2</v>
      </c>
      <c r="E8">
        <v>1.02</v>
      </c>
      <c r="F8">
        <f t="shared" si="2"/>
        <v>1.7000000000000001E-3</v>
      </c>
      <c r="G8">
        <f t="shared" si="0"/>
        <v>1.0404</v>
      </c>
      <c r="H8">
        <f>E8-E7</f>
        <v>0.10999999999999999</v>
      </c>
      <c r="J8">
        <v>0.9627</v>
      </c>
      <c r="K8">
        <f t="shared" si="3"/>
        <v>3.8200000000000012E-2</v>
      </c>
    </row>
    <row r="9" spans="1:11">
      <c r="A9">
        <v>7</v>
      </c>
      <c r="B9">
        <v>0.49020000000000002</v>
      </c>
      <c r="C9">
        <f t="shared" si="1"/>
        <v>2.2699999999999998E-2</v>
      </c>
      <c r="D9">
        <v>4.9700000000000001E-2</v>
      </c>
      <c r="E9">
        <v>1.04</v>
      </c>
      <c r="F9">
        <f t="shared" si="2"/>
        <v>1.6000000000000042E-3</v>
      </c>
      <c r="G9">
        <f t="shared" si="0"/>
        <v>1.0816000000000001</v>
      </c>
      <c r="H9">
        <f>E9-E8</f>
        <v>2.0000000000000018E-2</v>
      </c>
      <c r="J9">
        <v>0.99590000000000001</v>
      </c>
      <c r="K9">
        <f t="shared" si="3"/>
        <v>3.3200000000000007E-2</v>
      </c>
    </row>
    <row r="10" spans="1:11">
      <c r="A10">
        <v>8</v>
      </c>
      <c r="B10">
        <v>0.51300000000000001</v>
      </c>
      <c r="C10">
        <f t="shared" si="1"/>
        <v>2.2799999999999987E-2</v>
      </c>
      <c r="D10">
        <v>5.1799999999999999E-2</v>
      </c>
      <c r="E10">
        <v>0.76</v>
      </c>
      <c r="F10">
        <f t="shared" si="2"/>
        <v>2.0999999999999977E-3</v>
      </c>
      <c r="G10">
        <f t="shared" si="0"/>
        <v>0.5776</v>
      </c>
      <c r="H10">
        <f>E10-E9</f>
        <v>-0.28000000000000003</v>
      </c>
      <c r="J10">
        <v>1.0288999999999999</v>
      </c>
      <c r="K10">
        <f t="shared" si="3"/>
        <v>3.2999999999999918E-2</v>
      </c>
    </row>
    <row r="11" spans="1:11">
      <c r="A11">
        <v>9</v>
      </c>
      <c r="B11">
        <v>0.5353</v>
      </c>
      <c r="C11">
        <f t="shared" si="1"/>
        <v>2.2299999999999986E-2</v>
      </c>
      <c r="D11">
        <v>5.3499999999999999E-2</v>
      </c>
      <c r="E11">
        <v>1.0900000000000001</v>
      </c>
      <c r="F11">
        <f t="shared" si="2"/>
        <v>1.7000000000000001E-3</v>
      </c>
      <c r="G11">
        <f t="shared" si="0"/>
        <v>1.1881000000000002</v>
      </c>
      <c r="H11">
        <f>E11-E10</f>
        <v>0.33000000000000007</v>
      </c>
      <c r="J11">
        <v>1.0611999999999999</v>
      </c>
      <c r="K11">
        <f t="shared" si="3"/>
        <v>3.2299999999999995E-2</v>
      </c>
    </row>
    <row r="12" spans="1:11">
      <c r="A12">
        <v>10</v>
      </c>
      <c r="B12">
        <v>0.5585</v>
      </c>
      <c r="C12">
        <f t="shared" si="1"/>
        <v>2.3199999999999998E-2</v>
      </c>
      <c r="D12">
        <v>5.5199999999999999E-2</v>
      </c>
      <c r="E12">
        <v>1.58</v>
      </c>
      <c r="F12">
        <f t="shared" si="2"/>
        <v>1.7000000000000001E-3</v>
      </c>
      <c r="G12">
        <f t="shared" si="0"/>
        <v>2.4964000000000004</v>
      </c>
      <c r="H12">
        <f>E12-E11</f>
        <v>0.49</v>
      </c>
      <c r="J12">
        <v>1.0942000000000001</v>
      </c>
      <c r="K12">
        <f t="shared" si="3"/>
        <v>3.300000000000014E-2</v>
      </c>
    </row>
    <row r="13" spans="1:11">
      <c r="A13">
        <v>11</v>
      </c>
      <c r="B13">
        <v>0.58209999999999995</v>
      </c>
      <c r="C13">
        <f t="shared" si="1"/>
        <v>2.3599999999999954E-2</v>
      </c>
      <c r="D13">
        <v>5.6899999999999999E-2</v>
      </c>
      <c r="E13">
        <v>0.86</v>
      </c>
      <c r="F13">
        <f t="shared" si="2"/>
        <v>1.7000000000000001E-3</v>
      </c>
      <c r="G13">
        <f t="shared" si="0"/>
        <v>0.73959999999999992</v>
      </c>
      <c r="H13">
        <f>E13-E12</f>
        <v>-0.72000000000000008</v>
      </c>
      <c r="J13">
        <v>1.127</v>
      </c>
      <c r="K13">
        <f t="shared" si="3"/>
        <v>3.279999999999994E-2</v>
      </c>
    </row>
    <row r="14" spans="1:11">
      <c r="A14">
        <v>12</v>
      </c>
      <c r="B14">
        <v>0.60570000000000002</v>
      </c>
      <c r="C14">
        <f t="shared" si="1"/>
        <v>2.3600000000000065E-2</v>
      </c>
      <c r="D14">
        <v>5.8599999999999999E-2</v>
      </c>
      <c r="E14">
        <v>1.22</v>
      </c>
      <c r="F14">
        <f t="shared" si="2"/>
        <v>1.7000000000000001E-3</v>
      </c>
      <c r="G14">
        <f t="shared" si="0"/>
        <v>1.4883999999999999</v>
      </c>
      <c r="H14">
        <f>E14-E13</f>
        <v>0.36</v>
      </c>
      <c r="J14">
        <v>1.1597</v>
      </c>
      <c r="K14">
        <f t="shared" si="3"/>
        <v>3.2699999999999951E-2</v>
      </c>
    </row>
    <row r="15" spans="1:11">
      <c r="A15">
        <v>13</v>
      </c>
      <c r="B15">
        <v>0.63090000000000002</v>
      </c>
      <c r="C15">
        <f t="shared" si="1"/>
        <v>2.52E-2</v>
      </c>
      <c r="D15">
        <v>6.0400000000000002E-2</v>
      </c>
      <c r="E15">
        <v>1.1499999999999999</v>
      </c>
      <c r="F15">
        <f t="shared" si="2"/>
        <v>1.800000000000003E-3</v>
      </c>
      <c r="G15">
        <f t="shared" si="0"/>
        <v>1.3224999999999998</v>
      </c>
      <c r="H15">
        <f>E15-E14</f>
        <v>-7.0000000000000062E-2</v>
      </c>
      <c r="J15">
        <v>1.1926000000000001</v>
      </c>
      <c r="K15">
        <f t="shared" si="3"/>
        <v>3.2900000000000151E-2</v>
      </c>
    </row>
    <row r="16" spans="1:11">
      <c r="A16">
        <v>14</v>
      </c>
      <c r="B16">
        <v>0.65249999999999997</v>
      </c>
      <c r="C16">
        <f t="shared" si="1"/>
        <v>2.1599999999999953E-2</v>
      </c>
      <c r="D16">
        <v>6.2100000000000002E-2</v>
      </c>
      <c r="E16">
        <v>1.56</v>
      </c>
      <c r="F16">
        <f t="shared" si="2"/>
        <v>1.7000000000000001E-3</v>
      </c>
      <c r="G16">
        <f t="shared" si="0"/>
        <v>2.4336000000000002</v>
      </c>
      <c r="H16">
        <f>E16-E15</f>
        <v>0.41000000000000014</v>
      </c>
      <c r="J16">
        <v>1.2255</v>
      </c>
      <c r="K16">
        <f t="shared" si="3"/>
        <v>3.2899999999999929E-2</v>
      </c>
    </row>
    <row r="17" spans="1:11">
      <c r="A17">
        <v>15</v>
      </c>
      <c r="B17">
        <v>0.67689999999999995</v>
      </c>
      <c r="C17">
        <f t="shared" si="1"/>
        <v>2.4399999999999977E-2</v>
      </c>
      <c r="D17">
        <v>6.3200000000000006E-2</v>
      </c>
      <c r="E17">
        <v>1.04</v>
      </c>
      <c r="F17">
        <f t="shared" si="2"/>
        <v>1.1000000000000038E-3</v>
      </c>
      <c r="G17">
        <f t="shared" si="0"/>
        <v>1.0816000000000001</v>
      </c>
      <c r="H17">
        <f>E17-E16</f>
        <v>-0.52</v>
      </c>
      <c r="J17">
        <v>1.2581</v>
      </c>
      <c r="K17">
        <f t="shared" si="3"/>
        <v>3.2599999999999962E-2</v>
      </c>
    </row>
    <row r="18" spans="1:11">
      <c r="A18">
        <v>16</v>
      </c>
      <c r="B18">
        <v>0.70040000000000002</v>
      </c>
      <c r="C18">
        <f t="shared" si="1"/>
        <v>2.3500000000000076E-2</v>
      </c>
      <c r="D18">
        <v>6.4899999999999999E-2</v>
      </c>
      <c r="E18">
        <v>0.51</v>
      </c>
      <c r="F18">
        <f t="shared" si="2"/>
        <v>1.6999999999999932E-3</v>
      </c>
      <c r="G18">
        <f t="shared" si="0"/>
        <v>0.2601</v>
      </c>
      <c r="H18">
        <f>E18-E17</f>
        <v>-0.53</v>
      </c>
      <c r="J18">
        <v>1.2901</v>
      </c>
      <c r="K18">
        <f t="shared" si="3"/>
        <v>3.2000000000000028E-2</v>
      </c>
    </row>
    <row r="19" spans="1:11">
      <c r="A19">
        <v>17</v>
      </c>
      <c r="B19">
        <v>0.72230000000000005</v>
      </c>
      <c r="C19">
        <f t="shared" si="1"/>
        <v>2.1900000000000031E-2</v>
      </c>
      <c r="D19">
        <v>6.7199999999999996E-2</v>
      </c>
      <c r="E19">
        <v>1.1399999999999999</v>
      </c>
      <c r="F19">
        <f t="shared" si="2"/>
        <v>2.2999999999999965E-3</v>
      </c>
      <c r="G19">
        <f t="shared" si="0"/>
        <v>1.2995999999999999</v>
      </c>
      <c r="H19">
        <f>E19-E18</f>
        <v>0.62999999999999989</v>
      </c>
      <c r="J19">
        <v>1.3142</v>
      </c>
      <c r="K19">
        <f t="shared" si="3"/>
        <v>2.410000000000001E-2</v>
      </c>
    </row>
    <row r="20" spans="1:11">
      <c r="A20">
        <v>18</v>
      </c>
      <c r="B20">
        <v>0.74570000000000003</v>
      </c>
      <c r="C20">
        <f t="shared" si="1"/>
        <v>2.3399999999999976E-2</v>
      </c>
      <c r="D20">
        <v>6.9000000000000006E-2</v>
      </c>
      <c r="E20">
        <v>1.53</v>
      </c>
      <c r="F20">
        <f t="shared" si="2"/>
        <v>1.8000000000000099E-3</v>
      </c>
      <c r="G20">
        <f t="shared" si="0"/>
        <v>2.3409</v>
      </c>
      <c r="H20">
        <f>E20-E19</f>
        <v>0.39000000000000012</v>
      </c>
      <c r="J20">
        <v>1.3171999999999999</v>
      </c>
      <c r="K20">
        <f t="shared" si="3"/>
        <v>2.9999999999998916E-3</v>
      </c>
    </row>
    <row r="21" spans="1:11">
      <c r="A21">
        <v>19</v>
      </c>
      <c r="B21">
        <v>0.77049999999999996</v>
      </c>
      <c r="C21">
        <f t="shared" si="1"/>
        <v>2.4799999999999933E-2</v>
      </c>
      <c r="D21">
        <v>7.0699999999999999E-2</v>
      </c>
      <c r="E21">
        <v>0.74</v>
      </c>
      <c r="F21">
        <f t="shared" si="2"/>
        <v>1.6999999999999932E-3</v>
      </c>
      <c r="G21">
        <f t="shared" si="0"/>
        <v>0.54759999999999998</v>
      </c>
      <c r="H21">
        <f>E21-E20</f>
        <v>-0.79</v>
      </c>
      <c r="J21">
        <v>1.3142</v>
      </c>
      <c r="K21">
        <f t="shared" si="3"/>
        <v>-2.9999999999998916E-3</v>
      </c>
    </row>
    <row r="22" spans="1:11">
      <c r="A22">
        <v>20</v>
      </c>
      <c r="B22">
        <v>0.79449999999999998</v>
      </c>
      <c r="C22">
        <f t="shared" si="1"/>
        <v>2.4000000000000021E-2</v>
      </c>
      <c r="D22">
        <v>7.2300000000000003E-2</v>
      </c>
      <c r="E22">
        <v>1.79</v>
      </c>
      <c r="F22">
        <f t="shared" si="2"/>
        <v>1.6000000000000042E-3</v>
      </c>
      <c r="G22">
        <f t="shared" si="0"/>
        <v>3.2040999999999999</v>
      </c>
      <c r="H22">
        <f>E22-E21</f>
        <v>1.05</v>
      </c>
      <c r="J22">
        <v>1.3118000000000001</v>
      </c>
      <c r="K22">
        <f t="shared" si="3"/>
        <v>-2.3999999999999577E-3</v>
      </c>
    </row>
    <row r="23" spans="1:11">
      <c r="A23">
        <v>21</v>
      </c>
      <c r="B23">
        <v>0.8125</v>
      </c>
      <c r="C23">
        <f t="shared" si="1"/>
        <v>1.8000000000000016E-2</v>
      </c>
      <c r="D23">
        <v>7.3999999999999996E-2</v>
      </c>
      <c r="E23">
        <v>1.1399999999999999</v>
      </c>
      <c r="F23">
        <f t="shared" si="2"/>
        <v>1.6999999999999932E-3</v>
      </c>
      <c r="G23">
        <f t="shared" si="0"/>
        <v>1.2995999999999999</v>
      </c>
      <c r="H23">
        <f>E23-E22</f>
        <v>-0.65000000000000013</v>
      </c>
    </row>
    <row r="24" spans="1:11">
      <c r="A24">
        <v>22</v>
      </c>
      <c r="B24">
        <v>0.83599999999999997</v>
      </c>
      <c r="C24">
        <f t="shared" si="1"/>
        <v>2.3499999999999965E-2</v>
      </c>
      <c r="D24">
        <v>7.5600000000000001E-2</v>
      </c>
      <c r="E24">
        <v>2.4500000000000002</v>
      </c>
      <c r="F24">
        <f t="shared" si="2"/>
        <v>1.6000000000000042E-3</v>
      </c>
      <c r="G24">
        <f t="shared" si="0"/>
        <v>6.0025000000000013</v>
      </c>
      <c r="H24">
        <f>E24-E23</f>
        <v>1.3100000000000003</v>
      </c>
    </row>
    <row r="25" spans="1:11">
      <c r="A25">
        <v>23</v>
      </c>
      <c r="B25">
        <v>0.85780000000000001</v>
      </c>
      <c r="C25">
        <f t="shared" si="1"/>
        <v>2.1800000000000042E-2</v>
      </c>
      <c r="D25">
        <v>7.6600000000000001E-2</v>
      </c>
      <c r="E25">
        <v>1.85</v>
      </c>
      <c r="F25">
        <f t="shared" si="2"/>
        <v>1.0000000000000009E-3</v>
      </c>
      <c r="G25">
        <f t="shared" si="0"/>
        <v>3.4225000000000003</v>
      </c>
      <c r="H25">
        <f>E25-E24</f>
        <v>-0.60000000000000009</v>
      </c>
    </row>
    <row r="26" spans="1:11">
      <c r="A26">
        <v>24</v>
      </c>
      <c r="B26">
        <v>0.88139999999999996</v>
      </c>
      <c r="C26">
        <f t="shared" si="1"/>
        <v>2.3599999999999954E-2</v>
      </c>
      <c r="D26">
        <v>7.8399999999999997E-2</v>
      </c>
      <c r="E26">
        <v>0.81</v>
      </c>
      <c r="F26">
        <f t="shared" si="2"/>
        <v>1.799999999999996E-3</v>
      </c>
      <c r="G26">
        <f t="shared" si="0"/>
        <v>0.65610000000000013</v>
      </c>
      <c r="H26">
        <f>E26-E25</f>
        <v>-1.04</v>
      </c>
    </row>
    <row r="27" spans="1:11">
      <c r="A27">
        <v>25</v>
      </c>
      <c r="B27">
        <v>0.90259999999999996</v>
      </c>
      <c r="C27">
        <f t="shared" si="1"/>
        <v>2.1199999999999997E-2</v>
      </c>
      <c r="D27">
        <v>7.9799999999999996E-2</v>
      </c>
      <c r="E27">
        <v>0.63</v>
      </c>
      <c r="F27">
        <f t="shared" si="2"/>
        <v>1.3999999999999985E-3</v>
      </c>
      <c r="G27">
        <f t="shared" si="0"/>
        <v>0.39690000000000003</v>
      </c>
      <c r="H27">
        <f>E27-E26</f>
        <v>-0.18000000000000005</v>
      </c>
    </row>
    <row r="28" spans="1:11">
      <c r="A28">
        <v>26</v>
      </c>
      <c r="B28">
        <v>0.92559999999999998</v>
      </c>
      <c r="C28">
        <f t="shared" si="1"/>
        <v>2.300000000000002E-2</v>
      </c>
      <c r="D28">
        <v>8.2199999999999995E-2</v>
      </c>
      <c r="F28">
        <f t="shared" si="2"/>
        <v>2.3999999999999994E-3</v>
      </c>
      <c r="H28">
        <f>E28-E27</f>
        <v>-0.63</v>
      </c>
    </row>
    <row r="29" spans="1:11">
      <c r="A29">
        <v>27</v>
      </c>
      <c r="B29">
        <v>0.94620000000000004</v>
      </c>
      <c r="C29">
        <f t="shared" si="1"/>
        <v>2.0600000000000063E-2</v>
      </c>
      <c r="D29">
        <v>8.3799999999999999E-2</v>
      </c>
      <c r="E29">
        <v>2.78</v>
      </c>
      <c r="F29">
        <f t="shared" si="2"/>
        <v>1.6000000000000042E-3</v>
      </c>
      <c r="H29">
        <f>E29-E28</f>
        <v>2.78</v>
      </c>
      <c r="J29" t="e">
        <f>320-#REF!</f>
        <v>#REF!</v>
      </c>
      <c r="K29">
        <v>28</v>
      </c>
    </row>
    <row r="30" spans="1:11">
      <c r="A30">
        <v>28</v>
      </c>
      <c r="B30">
        <v>0.9667</v>
      </c>
      <c r="C30">
        <f t="shared" si="1"/>
        <v>2.0499999999999963E-2</v>
      </c>
      <c r="D30">
        <v>8.4400000000000003E-2</v>
      </c>
      <c r="E30">
        <v>1.56</v>
      </c>
      <c r="F30">
        <f t="shared" si="2"/>
        <v>6.0000000000000331E-4</v>
      </c>
      <c r="G30">
        <f t="shared" si="0"/>
        <v>2.4336000000000002</v>
      </c>
      <c r="H30">
        <f>E30-E29</f>
        <v>-1.2199999999999998</v>
      </c>
      <c r="J30" t="e">
        <f>320-#REF!</f>
        <v>#REF!</v>
      </c>
      <c r="K30">
        <v>29</v>
      </c>
    </row>
    <row r="31" spans="1:11">
      <c r="A31">
        <v>29</v>
      </c>
      <c r="B31">
        <v>0.98919999999999997</v>
      </c>
      <c r="C31">
        <f t="shared" si="1"/>
        <v>2.2499999999999964E-2</v>
      </c>
      <c r="D31">
        <v>8.5900000000000004E-2</v>
      </c>
      <c r="E31">
        <v>1.2</v>
      </c>
      <c r="F31">
        <f t="shared" si="2"/>
        <v>1.5000000000000013E-3</v>
      </c>
      <c r="H31">
        <f>E31-E30</f>
        <v>-0.3600000000000001</v>
      </c>
      <c r="J31" t="e">
        <f>320-#REF!</f>
        <v>#REF!</v>
      </c>
      <c r="K31">
        <v>30</v>
      </c>
    </row>
    <row r="32" spans="1:11">
      <c r="A32">
        <v>30</v>
      </c>
      <c r="B32">
        <v>1.0148999999999999</v>
      </c>
      <c r="C32">
        <f t="shared" si="1"/>
        <v>2.5699999999999945E-2</v>
      </c>
      <c r="D32">
        <v>8.7099999999999997E-2</v>
      </c>
      <c r="F32">
        <f t="shared" si="2"/>
        <v>1.1999999999999927E-3</v>
      </c>
      <c r="H32">
        <f>E32-E31</f>
        <v>-1.2</v>
      </c>
      <c r="J32" t="e">
        <f>320-#REF!</f>
        <v>#REF!</v>
      </c>
      <c r="K32">
        <v>31</v>
      </c>
    </row>
    <row r="33" spans="1:11">
      <c r="A33">
        <v>31</v>
      </c>
      <c r="B33">
        <v>1.0338000000000001</v>
      </c>
      <c r="C33">
        <f t="shared" si="1"/>
        <v>1.8900000000000139E-2</v>
      </c>
      <c r="D33">
        <v>8.8800000000000004E-2</v>
      </c>
      <c r="F33">
        <f t="shared" si="2"/>
        <v>1.7000000000000071E-3</v>
      </c>
      <c r="H33">
        <f>E33-E32</f>
        <v>0</v>
      </c>
      <c r="J33" t="e">
        <f>320-#REF!</f>
        <v>#REF!</v>
      </c>
      <c r="K33">
        <v>32</v>
      </c>
    </row>
    <row r="34" spans="1:11">
      <c r="A34">
        <v>32</v>
      </c>
      <c r="B34">
        <v>1.0569</v>
      </c>
      <c r="C34">
        <f t="shared" si="1"/>
        <v>2.3099999999999898E-2</v>
      </c>
      <c r="J34" t="e">
        <f>320-#REF!</f>
        <v>#REF!</v>
      </c>
      <c r="K34">
        <v>33</v>
      </c>
    </row>
    <row r="35" spans="1:11">
      <c r="A35">
        <v>33</v>
      </c>
      <c r="B35">
        <v>1.0737000000000001</v>
      </c>
      <c r="C35">
        <f t="shared" si="1"/>
        <v>1.6800000000000148E-2</v>
      </c>
      <c r="J35" t="e">
        <f>320-#REF!</f>
        <v>#REF!</v>
      </c>
      <c r="K35">
        <v>34</v>
      </c>
    </row>
    <row r="36" spans="1:11">
      <c r="A36">
        <v>34</v>
      </c>
      <c r="B36">
        <v>1.0951</v>
      </c>
      <c r="C36">
        <f t="shared" si="1"/>
        <v>2.1399999999999864E-2</v>
      </c>
      <c r="J36" t="e">
        <f>320-#REF!</f>
        <v>#REF!</v>
      </c>
      <c r="K36">
        <v>35</v>
      </c>
    </row>
    <row r="37" spans="1:11">
      <c r="A37">
        <v>35</v>
      </c>
      <c r="B37">
        <v>1.1163000000000001</v>
      </c>
      <c r="C37">
        <f t="shared" si="1"/>
        <v>2.1200000000000108E-2</v>
      </c>
      <c r="J37" t="e">
        <f>320-#REF!</f>
        <v>#REF!</v>
      </c>
      <c r="K37">
        <v>36</v>
      </c>
    </row>
    <row r="38" spans="1:11">
      <c r="A38">
        <v>36</v>
      </c>
      <c r="B38">
        <v>1.1477999999999999</v>
      </c>
      <c r="C38">
        <f t="shared" si="1"/>
        <v>3.1499999999999861E-2</v>
      </c>
      <c r="J38" t="e">
        <f>320-#REF!</f>
        <v>#REF!</v>
      </c>
      <c r="K38">
        <v>37</v>
      </c>
    </row>
    <row r="39" spans="1:11">
      <c r="A39">
        <v>37</v>
      </c>
      <c r="B39">
        <v>1.1911</v>
      </c>
      <c r="C39">
        <f t="shared" si="1"/>
        <v>4.3300000000000116E-2</v>
      </c>
      <c r="J39" t="e">
        <f>320-#REF!</f>
        <v>#REF!</v>
      </c>
      <c r="K39">
        <v>38</v>
      </c>
    </row>
    <row r="40" spans="1:11">
      <c r="A40">
        <v>38</v>
      </c>
      <c r="B40">
        <v>1.2164999999999999</v>
      </c>
      <c r="C40">
        <f t="shared" si="1"/>
        <v>2.5399999999999867E-2</v>
      </c>
      <c r="J40" t="e">
        <f>320-#REF!</f>
        <v>#REF!</v>
      </c>
      <c r="K40">
        <v>39</v>
      </c>
    </row>
    <row r="41" spans="1:11">
      <c r="A41">
        <v>39</v>
      </c>
      <c r="B41">
        <v>1.2515000000000001</v>
      </c>
      <c r="C41">
        <f t="shared" si="1"/>
        <v>3.5000000000000142E-2</v>
      </c>
      <c r="J41" t="e">
        <f>320-#REF!</f>
        <v>#REF!</v>
      </c>
      <c r="K41">
        <v>40</v>
      </c>
    </row>
    <row r="42" spans="1:11">
      <c r="A42">
        <v>40</v>
      </c>
      <c r="B42">
        <v>1.2816000000000001</v>
      </c>
      <c r="C42">
        <f t="shared" si="1"/>
        <v>3.0100000000000016E-2</v>
      </c>
      <c r="J42" t="e">
        <f>320-#REF!</f>
        <v>#REF!</v>
      </c>
      <c r="K42">
        <v>41</v>
      </c>
    </row>
    <row r="43" spans="1:11">
      <c r="A43">
        <v>41</v>
      </c>
      <c r="B43">
        <v>1.3133999999999999</v>
      </c>
      <c r="C43">
        <f t="shared" si="1"/>
        <v>3.1799999999999828E-2</v>
      </c>
      <c r="J43" t="e">
        <f>320-#REF!</f>
        <v>#REF!</v>
      </c>
      <c r="K43">
        <v>42</v>
      </c>
    </row>
    <row r="44" spans="1:11">
      <c r="A44">
        <v>42</v>
      </c>
      <c r="B44">
        <v>1.3182</v>
      </c>
      <c r="C44">
        <f t="shared" si="1"/>
        <v>4.8000000000001375E-3</v>
      </c>
      <c r="J44" t="e">
        <f>320-#REF!</f>
        <v>#REF!</v>
      </c>
      <c r="K44">
        <v>43</v>
      </c>
    </row>
    <row r="45" spans="1:11">
      <c r="A45">
        <v>43</v>
      </c>
      <c r="B45">
        <v>1.3206</v>
      </c>
      <c r="C45">
        <f t="shared" si="1"/>
        <v>2.3999999999999577E-3</v>
      </c>
      <c r="J45" t="e">
        <f>320-#REF!</f>
        <v>#REF!</v>
      </c>
      <c r="K45">
        <v>44</v>
      </c>
    </row>
    <row r="46" spans="1:11">
      <c r="J46" t="e">
        <f>320-#REF!</f>
        <v>#REF!</v>
      </c>
      <c r="K46">
        <v>45</v>
      </c>
    </row>
    <row r="47" spans="1:11">
      <c r="J47" t="e">
        <f>320-#REF!</f>
        <v>#REF!</v>
      </c>
      <c r="K47">
        <v>46</v>
      </c>
    </row>
    <row r="48" spans="1:11">
      <c r="J48" t="e">
        <f>320-#REF!</f>
        <v>#REF!</v>
      </c>
      <c r="K48">
        <v>47</v>
      </c>
    </row>
    <row r="49" spans="1:11">
      <c r="J49" t="e">
        <f>320-#REF!</f>
        <v>#REF!</v>
      </c>
      <c r="K49">
        <v>48</v>
      </c>
    </row>
    <row r="50" spans="1:11">
      <c r="J50" t="e">
        <f>320-#REF!</f>
        <v>#REF!</v>
      </c>
      <c r="K50">
        <v>49</v>
      </c>
    </row>
    <row r="51" spans="1:11">
      <c r="J51" t="e">
        <f>320-#REF!</f>
        <v>#REF!</v>
      </c>
      <c r="K51">
        <v>50</v>
      </c>
    </row>
    <row r="52" spans="1:11">
      <c r="J52" t="e">
        <f>320-#REF!</f>
        <v>#REF!</v>
      </c>
      <c r="K52">
        <v>51</v>
      </c>
    </row>
    <row r="53" spans="1:11">
      <c r="A53">
        <f>0.0017/1.78/0.00691*1.6E-19/0.001</f>
        <v>2.2114180718385662E-17</v>
      </c>
      <c r="C53">
        <f>11.2*1.6E-19/0.001</f>
        <v>1.7919999999999999E-15</v>
      </c>
      <c r="J53" t="e">
        <f>320-#REF!</f>
        <v>#REF!</v>
      </c>
      <c r="K53">
        <v>52</v>
      </c>
    </row>
    <row r="54" spans="1:11">
      <c r="J54" t="e">
        <f>320-#REF!</f>
        <v>#REF!</v>
      </c>
      <c r="K54">
        <v>53</v>
      </c>
    </row>
    <row r="55" spans="1:11">
      <c r="J55" t="e">
        <f>320-#REF!</f>
        <v>#REF!</v>
      </c>
      <c r="K55">
        <v>54</v>
      </c>
    </row>
    <row r="56" spans="1:11">
      <c r="J56" t="e">
        <f>320-#REF!</f>
        <v>#REF!</v>
      </c>
      <c r="K56">
        <v>55</v>
      </c>
    </row>
    <row r="57" spans="1:11">
      <c r="J57" t="e">
        <f>320-#REF!</f>
        <v>#REF!</v>
      </c>
      <c r="K57">
        <v>56</v>
      </c>
    </row>
    <row r="58" spans="1:11">
      <c r="J58" t="e">
        <f>320-#REF!</f>
        <v>#REF!</v>
      </c>
      <c r="K58">
        <v>57</v>
      </c>
    </row>
    <row r="59" spans="1:11">
      <c r="J59" t="e">
        <f>320-#REF!</f>
        <v>#REF!</v>
      </c>
      <c r="K59">
        <v>58</v>
      </c>
    </row>
    <row r="60" spans="1:11">
      <c r="J60" t="e">
        <f>320-#REF!</f>
        <v>#REF!</v>
      </c>
      <c r="K60">
        <v>59</v>
      </c>
    </row>
    <row r="61" spans="1:11">
      <c r="J61" t="e">
        <f>320-#REF!</f>
        <v>#REF!</v>
      </c>
      <c r="K61">
        <v>60</v>
      </c>
    </row>
    <row r="62" spans="1:11">
      <c r="J62" t="e">
        <f>320-#REF!</f>
        <v>#REF!</v>
      </c>
      <c r="K62">
        <v>61</v>
      </c>
    </row>
    <row r="63" spans="1:11">
      <c r="J63" t="e">
        <f>320-#REF!</f>
        <v>#REF!</v>
      </c>
      <c r="K63">
        <v>62</v>
      </c>
    </row>
    <row r="64" spans="1:11">
      <c r="J64" t="e">
        <f>320-#REF!</f>
        <v>#REF!</v>
      </c>
      <c r="K64">
        <v>63</v>
      </c>
    </row>
    <row r="65" spans="10:11">
      <c r="J65" t="e">
        <f>320-#REF!</f>
        <v>#REF!</v>
      </c>
      <c r="K65">
        <v>64</v>
      </c>
    </row>
    <row r="66" spans="10:11">
      <c r="J66" t="e">
        <f>320-#REF!</f>
        <v>#REF!</v>
      </c>
      <c r="K66">
        <v>65</v>
      </c>
    </row>
    <row r="67" spans="10:11">
      <c r="J67" t="e">
        <f>320-#REF!</f>
        <v>#REF!</v>
      </c>
      <c r="K67">
        <v>66</v>
      </c>
    </row>
    <row r="68" spans="10:11">
      <c r="J68" t="e">
        <f>320-#REF!</f>
        <v>#REF!</v>
      </c>
      <c r="K68">
        <v>67</v>
      </c>
    </row>
    <row r="69" spans="10:11">
      <c r="J69" t="e">
        <f>320-#REF!</f>
        <v>#REF!</v>
      </c>
      <c r="K69">
        <v>68</v>
      </c>
    </row>
    <row r="70" spans="10:11">
      <c r="J70" t="e">
        <f>320-#REF!</f>
        <v>#REF!</v>
      </c>
      <c r="K70">
        <v>69</v>
      </c>
    </row>
    <row r="71" spans="10:11">
      <c r="J71" t="e">
        <f>320-#REF!</f>
        <v>#REF!</v>
      </c>
      <c r="K71">
        <v>70</v>
      </c>
    </row>
    <row r="72" spans="10:11">
      <c r="J72" t="e">
        <f>320-#REF!</f>
        <v>#REF!</v>
      </c>
      <c r="K72">
        <v>71</v>
      </c>
    </row>
    <row r="73" spans="10:11">
      <c r="J73" t="e">
        <f>320-#REF!</f>
        <v>#REF!</v>
      </c>
      <c r="K73">
        <v>72</v>
      </c>
    </row>
    <row r="74" spans="10:11">
      <c r="J74" t="e">
        <f>320-#REF!</f>
        <v>#REF!</v>
      </c>
      <c r="K74">
        <v>73</v>
      </c>
    </row>
    <row r="75" spans="10:11">
      <c r="J75" t="e">
        <f>320-#REF!</f>
        <v>#REF!</v>
      </c>
      <c r="K75">
        <v>74</v>
      </c>
    </row>
    <row r="76" spans="10:11">
      <c r="J76" t="e">
        <f>320-#REF!</f>
        <v>#REF!</v>
      </c>
      <c r="K76">
        <v>75</v>
      </c>
    </row>
    <row r="77" spans="10:11">
      <c r="J77" t="e">
        <f>320-#REF!</f>
        <v>#REF!</v>
      </c>
      <c r="K77">
        <v>76</v>
      </c>
    </row>
    <row r="78" spans="10:11">
      <c r="J78" t="e">
        <f>320-#REF!</f>
        <v>#REF!</v>
      </c>
      <c r="K78">
        <v>77</v>
      </c>
    </row>
    <row r="79" spans="10:11">
      <c r="J79" t="e">
        <f>320-#REF!</f>
        <v>#REF!</v>
      </c>
      <c r="K79">
        <v>78</v>
      </c>
    </row>
    <row r="80" spans="10:11">
      <c r="J80" t="e">
        <f>320-#REF!</f>
        <v>#REF!</v>
      </c>
      <c r="K80">
        <v>79</v>
      </c>
    </row>
    <row r="81" spans="10:11">
      <c r="J81" t="e">
        <f>320-#REF!</f>
        <v>#REF!</v>
      </c>
      <c r="K81">
        <v>80</v>
      </c>
    </row>
    <row r="82" spans="10:11">
      <c r="J82" t="e">
        <f>320-#REF!</f>
        <v>#REF!</v>
      </c>
      <c r="K82">
        <v>81</v>
      </c>
    </row>
    <row r="83" spans="10:11">
      <c r="J83" t="e">
        <f>320-#REF!</f>
        <v>#REF!</v>
      </c>
      <c r="K83">
        <v>82</v>
      </c>
    </row>
    <row r="84" spans="10:11">
      <c r="J84" t="e">
        <f>320-#REF!</f>
        <v>#REF!</v>
      </c>
      <c r="K84">
        <v>83</v>
      </c>
    </row>
    <row r="85" spans="10:11">
      <c r="J85" t="e">
        <f>320-#REF!</f>
        <v>#REF!</v>
      </c>
      <c r="K85">
        <v>84</v>
      </c>
    </row>
    <row r="86" spans="10:11">
      <c r="J86" t="e">
        <f>320-#REF!</f>
        <v>#REF!</v>
      </c>
      <c r="K86">
        <v>85</v>
      </c>
    </row>
    <row r="87" spans="10:11">
      <c r="J87" t="e">
        <f>320-#REF!</f>
        <v>#REF!</v>
      </c>
      <c r="K87">
        <v>86</v>
      </c>
    </row>
    <row r="88" spans="10:11">
      <c r="J88" t="e">
        <f>320-#REF!</f>
        <v>#REF!</v>
      </c>
      <c r="K88">
        <v>87</v>
      </c>
    </row>
    <row r="89" spans="10:11">
      <c r="J89" t="e">
        <f>320-#REF!</f>
        <v>#REF!</v>
      </c>
      <c r="K89">
        <v>88</v>
      </c>
    </row>
    <row r="90" spans="10:11">
      <c r="J90" t="e">
        <f>320-#REF!</f>
        <v>#REF!</v>
      </c>
      <c r="K90">
        <v>89</v>
      </c>
    </row>
    <row r="91" spans="10:11">
      <c r="J91" t="e">
        <f>320-#REF!</f>
        <v>#REF!</v>
      </c>
      <c r="K91">
        <v>90</v>
      </c>
    </row>
    <row r="92" spans="10:11">
      <c r="J92" t="e">
        <f>320-#REF!</f>
        <v>#REF!</v>
      </c>
      <c r="K92">
        <v>91</v>
      </c>
    </row>
    <row r="93" spans="10:11">
      <c r="J93" t="e">
        <f>320-#REF!</f>
        <v>#REF!</v>
      </c>
      <c r="K93">
        <v>92</v>
      </c>
    </row>
    <row r="94" spans="10:11">
      <c r="J94" t="e">
        <f>320-#REF!</f>
        <v>#REF!</v>
      </c>
      <c r="K94">
        <v>93</v>
      </c>
    </row>
    <row r="95" spans="10:11">
      <c r="J95" t="e">
        <f>320-#REF!</f>
        <v>#REF!</v>
      </c>
      <c r="K95">
        <v>94</v>
      </c>
    </row>
    <row r="96" spans="10:11">
      <c r="J96" t="e">
        <f>320-#REF!</f>
        <v>#REF!</v>
      </c>
      <c r="K96">
        <v>95</v>
      </c>
    </row>
    <row r="97" spans="10:11">
      <c r="J97" t="e">
        <f>320-#REF!</f>
        <v>#REF!</v>
      </c>
      <c r="K97">
        <v>96</v>
      </c>
    </row>
    <row r="98" spans="10:11">
      <c r="J98" t="e">
        <f>320-#REF!</f>
        <v>#REF!</v>
      </c>
      <c r="K98">
        <v>97</v>
      </c>
    </row>
    <row r="99" spans="10:11">
      <c r="J99" t="e">
        <f>320-#REF!</f>
        <v>#REF!</v>
      </c>
      <c r="K99">
        <v>98</v>
      </c>
    </row>
    <row r="100" spans="10:11">
      <c r="J100" t="e">
        <f>320-#REF!</f>
        <v>#REF!</v>
      </c>
      <c r="K100">
        <v>99</v>
      </c>
    </row>
    <row r="101" spans="10:11">
      <c r="J101" t="e">
        <f>320-#REF!</f>
        <v>#REF!</v>
      </c>
      <c r="K101">
        <v>100</v>
      </c>
    </row>
    <row r="102" spans="10:11">
      <c r="J102" t="e">
        <f>320-#REF!</f>
        <v>#REF!</v>
      </c>
      <c r="K102">
        <v>101</v>
      </c>
    </row>
    <row r="103" spans="10:11">
      <c r="J103" t="e">
        <f>320-#REF!</f>
        <v>#REF!</v>
      </c>
      <c r="K103">
        <v>102</v>
      </c>
    </row>
    <row r="104" spans="10:11">
      <c r="J104" t="e">
        <f>320-#REF!</f>
        <v>#REF!</v>
      </c>
      <c r="K104">
        <v>103</v>
      </c>
    </row>
    <row r="105" spans="10:11">
      <c r="J105" t="e">
        <f>320-#REF!</f>
        <v>#REF!</v>
      </c>
      <c r="K105">
        <v>104</v>
      </c>
    </row>
    <row r="106" spans="10:11">
      <c r="J106" t="e">
        <f>320-#REF!</f>
        <v>#REF!</v>
      </c>
      <c r="K106">
        <v>105</v>
      </c>
    </row>
    <row r="107" spans="10:11">
      <c r="J107" t="e">
        <f>320-#REF!</f>
        <v>#REF!</v>
      </c>
      <c r="K107">
        <v>106</v>
      </c>
    </row>
    <row r="108" spans="10:11">
      <c r="J108" t="e">
        <f>320-#REF!</f>
        <v>#REF!</v>
      </c>
      <c r="K108">
        <v>107</v>
      </c>
    </row>
    <row r="109" spans="10:11">
      <c r="J109" t="e">
        <f>320-#REF!</f>
        <v>#REF!</v>
      </c>
      <c r="K109">
        <v>108</v>
      </c>
    </row>
    <row r="110" spans="10:11">
      <c r="J110" t="e">
        <f>320-#REF!</f>
        <v>#REF!</v>
      </c>
      <c r="K110">
        <v>109</v>
      </c>
    </row>
    <row r="111" spans="10:11">
      <c r="J111" t="e">
        <f>320-#REF!</f>
        <v>#REF!</v>
      </c>
      <c r="K111">
        <v>110</v>
      </c>
    </row>
    <row r="112" spans="10:11">
      <c r="J112" t="e">
        <f>320-#REF!</f>
        <v>#REF!</v>
      </c>
      <c r="K112">
        <v>111</v>
      </c>
    </row>
    <row r="113" spans="10:11">
      <c r="J113" t="e">
        <f>320-#REF!</f>
        <v>#REF!</v>
      </c>
      <c r="K113">
        <v>112</v>
      </c>
    </row>
    <row r="114" spans="10:11">
      <c r="J114" t="e">
        <f>320-#REF!</f>
        <v>#REF!</v>
      </c>
      <c r="K114">
        <v>113</v>
      </c>
    </row>
    <row r="115" spans="10:11">
      <c r="J115" t="e">
        <f>320-#REF!</f>
        <v>#REF!</v>
      </c>
      <c r="K115">
        <v>114</v>
      </c>
    </row>
    <row r="116" spans="10:11">
      <c r="J116" t="e">
        <f>320-#REF!</f>
        <v>#REF!</v>
      </c>
      <c r="K116">
        <v>115</v>
      </c>
    </row>
    <row r="117" spans="10:11">
      <c r="J117" t="e">
        <f>320-#REF!</f>
        <v>#REF!</v>
      </c>
      <c r="K117">
        <v>116</v>
      </c>
    </row>
    <row r="118" spans="10:11">
      <c r="J118" t="e">
        <f>320-#REF!</f>
        <v>#REF!</v>
      </c>
      <c r="K118">
        <v>117</v>
      </c>
    </row>
    <row r="119" spans="10:11">
      <c r="J119" t="e">
        <f>320-#REF!</f>
        <v>#REF!</v>
      </c>
      <c r="K119">
        <v>118</v>
      </c>
    </row>
    <row r="120" spans="10:11">
      <c r="J120" t="e">
        <f>320-#REF!</f>
        <v>#REF!</v>
      </c>
      <c r="K120">
        <v>119</v>
      </c>
    </row>
    <row r="121" spans="10:11">
      <c r="J121" t="e">
        <f>320-#REF!</f>
        <v>#REF!</v>
      </c>
      <c r="K121">
        <v>120</v>
      </c>
    </row>
    <row r="122" spans="10:11">
      <c r="J122" t="e">
        <f>320-#REF!</f>
        <v>#REF!</v>
      </c>
      <c r="K122">
        <v>121</v>
      </c>
    </row>
    <row r="123" spans="10:11">
      <c r="J123" t="e">
        <f>320-#REF!</f>
        <v>#REF!</v>
      </c>
      <c r="K123">
        <v>122</v>
      </c>
    </row>
    <row r="124" spans="10:11">
      <c r="J124" t="e">
        <f>320-#REF!</f>
        <v>#REF!</v>
      </c>
      <c r="K124">
        <v>123</v>
      </c>
    </row>
    <row r="125" spans="10:11">
      <c r="J125" t="e">
        <f>320-#REF!</f>
        <v>#REF!</v>
      </c>
      <c r="K125">
        <v>124</v>
      </c>
    </row>
    <row r="126" spans="10:11">
      <c r="J126" t="e">
        <f>320-#REF!</f>
        <v>#REF!</v>
      </c>
      <c r="K126">
        <v>125</v>
      </c>
    </row>
    <row r="127" spans="10:11">
      <c r="J127" t="e">
        <f>320-#REF!</f>
        <v>#REF!</v>
      </c>
      <c r="K127">
        <v>126</v>
      </c>
    </row>
    <row r="128" spans="10:11">
      <c r="J128" t="e">
        <f>320-#REF!</f>
        <v>#REF!</v>
      </c>
      <c r="K128">
        <v>127</v>
      </c>
    </row>
    <row r="129" spans="10:11">
      <c r="J129" t="e">
        <f>320-#REF!</f>
        <v>#REF!</v>
      </c>
      <c r="K129">
        <v>128</v>
      </c>
    </row>
    <row r="130" spans="10:11">
      <c r="J130" t="e">
        <f>320-#REF!</f>
        <v>#REF!</v>
      </c>
      <c r="K130">
        <v>129</v>
      </c>
    </row>
    <row r="131" spans="10:11">
      <c r="J131" t="e">
        <f>320-#REF!</f>
        <v>#REF!</v>
      </c>
      <c r="K131">
        <v>130</v>
      </c>
    </row>
    <row r="132" spans="10:11">
      <c r="J132" t="e">
        <f>320-#REF!</f>
        <v>#REF!</v>
      </c>
      <c r="K132">
        <v>131</v>
      </c>
    </row>
    <row r="133" spans="10:11">
      <c r="J133" t="e">
        <f>320-#REF!</f>
        <v>#REF!</v>
      </c>
      <c r="K133">
        <v>132</v>
      </c>
    </row>
    <row r="134" spans="10:11">
      <c r="J134" t="e">
        <f>320-#REF!</f>
        <v>#REF!</v>
      </c>
      <c r="K134">
        <v>133</v>
      </c>
    </row>
    <row r="135" spans="10:11">
      <c r="J135" t="e">
        <f>320-#REF!</f>
        <v>#REF!</v>
      </c>
      <c r="K135">
        <v>134</v>
      </c>
    </row>
    <row r="136" spans="10:11">
      <c r="J136" t="e">
        <f>320-#REF!</f>
        <v>#REF!</v>
      </c>
      <c r="K136">
        <v>135</v>
      </c>
    </row>
    <row r="137" spans="10:11">
      <c r="J137" t="e">
        <f>320-#REF!</f>
        <v>#REF!</v>
      </c>
      <c r="K137">
        <v>136</v>
      </c>
    </row>
    <row r="138" spans="10:11">
      <c r="J138" t="e">
        <f>320-#REF!</f>
        <v>#REF!</v>
      </c>
      <c r="K138">
        <v>137</v>
      </c>
    </row>
    <row r="139" spans="10:11">
      <c r="J139" t="e">
        <f>320-#REF!</f>
        <v>#REF!</v>
      </c>
      <c r="K139">
        <v>138</v>
      </c>
    </row>
    <row r="140" spans="10:11">
      <c r="J140" t="e">
        <f>320-#REF!</f>
        <v>#REF!</v>
      </c>
      <c r="K140">
        <v>139</v>
      </c>
    </row>
    <row r="141" spans="10:11">
      <c r="J141" t="e">
        <f>320-#REF!</f>
        <v>#REF!</v>
      </c>
      <c r="K141">
        <v>140</v>
      </c>
    </row>
    <row r="142" spans="10:11">
      <c r="J142" t="e">
        <f>320-#REF!</f>
        <v>#REF!</v>
      </c>
      <c r="K142">
        <v>141</v>
      </c>
    </row>
    <row r="143" spans="10:11">
      <c r="J143" t="e">
        <f>320-#REF!</f>
        <v>#REF!</v>
      </c>
      <c r="K143">
        <v>142</v>
      </c>
    </row>
    <row r="144" spans="10:11">
      <c r="J144" t="e">
        <f>320-#REF!</f>
        <v>#REF!</v>
      </c>
      <c r="K144">
        <v>143</v>
      </c>
    </row>
    <row r="145" spans="10:11">
      <c r="J145" t="e">
        <f>320-#REF!</f>
        <v>#REF!</v>
      </c>
      <c r="K145">
        <v>144</v>
      </c>
    </row>
    <row r="146" spans="10:11">
      <c r="J146" t="e">
        <f>320-#REF!</f>
        <v>#REF!</v>
      </c>
      <c r="K146">
        <v>145</v>
      </c>
    </row>
    <row r="147" spans="10:11">
      <c r="J147" t="e">
        <f>320-#REF!</f>
        <v>#REF!</v>
      </c>
      <c r="K147">
        <v>146</v>
      </c>
    </row>
    <row r="148" spans="10:11">
      <c r="J148" t="e">
        <f>320-#REF!</f>
        <v>#REF!</v>
      </c>
      <c r="K148">
        <v>147</v>
      </c>
    </row>
    <row r="149" spans="10:11">
      <c r="J149" t="e">
        <f>320-#REF!</f>
        <v>#REF!</v>
      </c>
      <c r="K149">
        <v>148</v>
      </c>
    </row>
    <row r="150" spans="10:11">
      <c r="J150" t="e">
        <f>320-#REF!</f>
        <v>#REF!</v>
      </c>
      <c r="K150">
        <v>149</v>
      </c>
    </row>
    <row r="151" spans="10:11">
      <c r="J151" t="e">
        <f>320-#REF!</f>
        <v>#REF!</v>
      </c>
      <c r="K151">
        <v>150</v>
      </c>
    </row>
    <row r="152" spans="10:11">
      <c r="J152" t="e">
        <f>320-#REF!</f>
        <v>#REF!</v>
      </c>
      <c r="K152">
        <v>151</v>
      </c>
    </row>
    <row r="153" spans="10:11">
      <c r="J153" t="e">
        <f>320-#REF!</f>
        <v>#REF!</v>
      </c>
      <c r="K153">
        <v>152</v>
      </c>
    </row>
    <row r="154" spans="10:11">
      <c r="J154" t="e">
        <f>320-#REF!</f>
        <v>#REF!</v>
      </c>
      <c r="K154">
        <v>153</v>
      </c>
    </row>
    <row r="155" spans="10:11">
      <c r="J155" t="e">
        <f>320-#REF!</f>
        <v>#REF!</v>
      </c>
      <c r="K155">
        <v>154</v>
      </c>
    </row>
    <row r="156" spans="10:11">
      <c r="J156" t="e">
        <f>320-#REF!</f>
        <v>#REF!</v>
      </c>
      <c r="K156">
        <v>155</v>
      </c>
    </row>
    <row r="157" spans="10:11">
      <c r="J157" t="e">
        <f>320-#REF!</f>
        <v>#REF!</v>
      </c>
      <c r="K157">
        <v>156</v>
      </c>
    </row>
    <row r="158" spans="10:11">
      <c r="J158" t="e">
        <f>320-#REF!</f>
        <v>#REF!</v>
      </c>
      <c r="K158">
        <v>157</v>
      </c>
    </row>
    <row r="159" spans="10:11">
      <c r="J159" t="e">
        <f>320-#REF!</f>
        <v>#REF!</v>
      </c>
      <c r="K159">
        <v>158</v>
      </c>
    </row>
    <row r="160" spans="10:11">
      <c r="J160" t="e">
        <f>320-#REF!</f>
        <v>#REF!</v>
      </c>
      <c r="K160">
        <v>159</v>
      </c>
    </row>
    <row r="161" spans="10:11">
      <c r="J161" t="e">
        <f>320-#REF!</f>
        <v>#REF!</v>
      </c>
      <c r="K161">
        <v>160</v>
      </c>
    </row>
    <row r="162" spans="10:11">
      <c r="J162" t="e">
        <f>320-#REF!</f>
        <v>#REF!</v>
      </c>
      <c r="K162">
        <v>161</v>
      </c>
    </row>
    <row r="163" spans="10:11">
      <c r="J163" t="e">
        <f>320-#REF!</f>
        <v>#REF!</v>
      </c>
      <c r="K163">
        <v>162</v>
      </c>
    </row>
    <row r="164" spans="10:11">
      <c r="J164" t="e">
        <f>320-#REF!</f>
        <v>#REF!</v>
      </c>
      <c r="K164">
        <v>163</v>
      </c>
    </row>
    <row r="165" spans="10:11">
      <c r="J165" t="e">
        <f>320-#REF!</f>
        <v>#REF!</v>
      </c>
      <c r="K165">
        <v>164</v>
      </c>
    </row>
    <row r="166" spans="10:11">
      <c r="J166" t="e">
        <f>320-#REF!</f>
        <v>#REF!</v>
      </c>
      <c r="K166">
        <v>165</v>
      </c>
    </row>
    <row r="167" spans="10:11">
      <c r="J167" t="e">
        <f>320-#REF!</f>
        <v>#REF!</v>
      </c>
      <c r="K167">
        <v>166</v>
      </c>
    </row>
    <row r="168" spans="10:11">
      <c r="J168" t="e">
        <f>320-#REF!</f>
        <v>#REF!</v>
      </c>
      <c r="K168">
        <v>167</v>
      </c>
    </row>
    <row r="169" spans="10:11">
      <c r="J169" t="e">
        <f>320-#REF!</f>
        <v>#REF!</v>
      </c>
      <c r="K169">
        <v>168</v>
      </c>
    </row>
    <row r="170" spans="10:11">
      <c r="J170" t="e">
        <f>320-#REF!</f>
        <v>#REF!</v>
      </c>
      <c r="K170">
        <v>169</v>
      </c>
    </row>
    <row r="171" spans="10:11">
      <c r="J171" t="e">
        <f>320-#REF!</f>
        <v>#REF!</v>
      </c>
      <c r="K171">
        <v>170</v>
      </c>
    </row>
    <row r="172" spans="10:11">
      <c r="J172" t="e">
        <f>320-#REF!</f>
        <v>#REF!</v>
      </c>
      <c r="K172">
        <v>171</v>
      </c>
    </row>
    <row r="173" spans="10:11">
      <c r="J173" t="e">
        <f>320-#REF!</f>
        <v>#REF!</v>
      </c>
      <c r="K173">
        <v>172</v>
      </c>
    </row>
    <row r="174" spans="10:11">
      <c r="J174" t="e">
        <f>320-#REF!</f>
        <v>#REF!</v>
      </c>
      <c r="K174">
        <v>173</v>
      </c>
    </row>
    <row r="175" spans="10:11">
      <c r="J175" t="e">
        <f>320-#REF!</f>
        <v>#REF!</v>
      </c>
      <c r="K175">
        <v>174</v>
      </c>
    </row>
    <row r="176" spans="10:11">
      <c r="J176" t="e">
        <f>320-#REF!</f>
        <v>#REF!</v>
      </c>
      <c r="K176">
        <v>175</v>
      </c>
    </row>
    <row r="177" spans="10:11">
      <c r="J177" t="e">
        <f>320-#REF!</f>
        <v>#REF!</v>
      </c>
      <c r="K177">
        <v>176</v>
      </c>
    </row>
    <row r="178" spans="10:11">
      <c r="J178" t="e">
        <f>320-#REF!</f>
        <v>#REF!</v>
      </c>
      <c r="K178">
        <v>177</v>
      </c>
    </row>
    <row r="179" spans="10:11">
      <c r="J179" t="e">
        <f>320-#REF!</f>
        <v>#REF!</v>
      </c>
      <c r="K179">
        <v>178</v>
      </c>
    </row>
    <row r="180" spans="10:11">
      <c r="J180" t="e">
        <f>320-#REF!</f>
        <v>#REF!</v>
      </c>
      <c r="K180">
        <v>179</v>
      </c>
    </row>
    <row r="181" spans="10:11">
      <c r="J181" t="e">
        <f>320-#REF!</f>
        <v>#REF!</v>
      </c>
      <c r="K181">
        <v>180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"/>
  <sheetViews>
    <sheetView topLeftCell="A80" workbookViewId="0">
      <selection activeCell="V99" sqref="V99"/>
    </sheetView>
  </sheetViews>
  <sheetFormatPr baseColWidth="10" defaultRowHeight="18" x14ac:dyDescent="0"/>
  <cols>
    <col min="1" max="1" width="18.5" style="19" customWidth="1"/>
    <col min="2" max="5" width="10.83203125" style="19"/>
    <col min="6" max="6" width="17.5" style="19" customWidth="1"/>
    <col min="7" max="7" width="16" style="19" customWidth="1"/>
    <col min="8" max="9" width="15.83203125" style="19" customWidth="1"/>
    <col min="10" max="11" width="14.33203125" style="19" customWidth="1"/>
    <col min="12" max="12" width="13" style="19" customWidth="1"/>
    <col min="13" max="13" width="21.1640625" style="19" customWidth="1"/>
    <col min="14" max="16384" width="10.83203125" style="19"/>
  </cols>
  <sheetData>
    <row r="1" spans="1:15">
      <c r="A1" s="19" t="s">
        <v>32</v>
      </c>
    </row>
    <row r="2" spans="1:15" ht="54">
      <c r="A2" s="20" t="s">
        <v>24</v>
      </c>
      <c r="B2" s="20" t="s">
        <v>7</v>
      </c>
      <c r="C2" s="20" t="s">
        <v>8</v>
      </c>
      <c r="D2" s="20" t="s">
        <v>9</v>
      </c>
      <c r="E2" s="20" t="s">
        <v>10</v>
      </c>
      <c r="F2" s="20" t="s">
        <v>25</v>
      </c>
      <c r="G2" s="20" t="s">
        <v>29</v>
      </c>
      <c r="H2" s="20" t="s">
        <v>26</v>
      </c>
      <c r="I2" s="20" t="s">
        <v>34</v>
      </c>
      <c r="J2" s="20" t="s">
        <v>27</v>
      </c>
      <c r="K2" s="20" t="s">
        <v>30</v>
      </c>
      <c r="L2" s="20" t="s">
        <v>28</v>
      </c>
      <c r="M2" s="19" t="s">
        <v>31</v>
      </c>
    </row>
    <row r="3" spans="1:15" s="24" customFormat="1">
      <c r="A3" s="24">
        <v>-25</v>
      </c>
      <c r="B3" s="24">
        <v>0.9</v>
      </c>
      <c r="C3" s="24">
        <f>1.8*B3</f>
        <v>1.62</v>
      </c>
      <c r="D3" s="24">
        <f>3.3*B3</f>
        <v>2.9699999999999998</v>
      </c>
      <c r="E3" s="24">
        <f>3.2*B3</f>
        <v>2.8800000000000003</v>
      </c>
      <c r="F3" s="25"/>
      <c r="G3" s="25"/>
      <c r="H3" s="25"/>
      <c r="I3" s="25"/>
      <c r="J3" s="25">
        <v>0.24909999999999999</v>
      </c>
      <c r="K3" s="25">
        <f>J3*1.7046</f>
        <v>0.42461585999999996</v>
      </c>
      <c r="L3" s="25">
        <v>0.24890000000000001</v>
      </c>
      <c r="M3" s="25">
        <f>1.7046*L3</f>
        <v>0.42427493999999999</v>
      </c>
    </row>
    <row r="4" spans="1:15" s="24" customFormat="1">
      <c r="B4" s="24">
        <v>0.95</v>
      </c>
      <c r="C4" s="24">
        <f t="shared" ref="C4:C7" si="0">1.8*B4</f>
        <v>1.71</v>
      </c>
      <c r="D4" s="24">
        <f t="shared" ref="D4:D27" si="1">3.3*B4</f>
        <v>3.1349999999999998</v>
      </c>
      <c r="E4" s="24">
        <f t="shared" ref="E4:E27" si="2">3.2*B4</f>
        <v>3.04</v>
      </c>
      <c r="F4" s="25">
        <f>G4*SQRT(2)</f>
        <v>0.64516422715460597</v>
      </c>
      <c r="G4" s="25">
        <v>0.45619999999999999</v>
      </c>
      <c r="H4" s="25">
        <v>1.7014</v>
      </c>
      <c r="I4" s="25">
        <f t="shared" ref="I4:I27" si="3">1/H4</f>
        <v>0.58775126366521691</v>
      </c>
      <c r="J4" s="25">
        <v>0.24959999999999999</v>
      </c>
      <c r="K4" s="25">
        <f t="shared" ref="K4:K27" si="4">J4*1.7046</f>
        <v>0.42546815999999993</v>
      </c>
      <c r="L4" s="25">
        <v>0.2505</v>
      </c>
      <c r="M4" s="25">
        <f t="shared" ref="M4:M27" si="5">1.7046*L4</f>
        <v>0.4270023</v>
      </c>
    </row>
    <row r="5" spans="1:15" s="24" customFormat="1">
      <c r="B5" s="24">
        <v>1</v>
      </c>
      <c r="C5" s="24">
        <f t="shared" si="0"/>
        <v>1.8</v>
      </c>
      <c r="D5" s="24">
        <f t="shared" si="1"/>
        <v>3.3</v>
      </c>
      <c r="E5" s="24">
        <f t="shared" si="2"/>
        <v>3.2</v>
      </c>
      <c r="F5" s="25">
        <f t="shared" ref="F5:F27" si="6">G5*SQRT(2)</f>
        <v>0.63639610306789285</v>
      </c>
      <c r="G5" s="25">
        <v>0.45</v>
      </c>
      <c r="H5" s="25">
        <v>1.6294999999999999</v>
      </c>
      <c r="I5" s="25">
        <f t="shared" si="3"/>
        <v>0.61368517950291501</v>
      </c>
      <c r="J5" s="25">
        <v>0.2487</v>
      </c>
      <c r="K5" s="25">
        <f t="shared" si="4"/>
        <v>0.42393401999999997</v>
      </c>
      <c r="L5" s="25">
        <v>0.24909999999999999</v>
      </c>
      <c r="M5" s="25">
        <f t="shared" si="5"/>
        <v>0.42461585999999996</v>
      </c>
    </row>
    <row r="6" spans="1:15" s="24" customFormat="1">
      <c r="B6" s="24">
        <v>1.05</v>
      </c>
      <c r="C6" s="24">
        <f t="shared" si="0"/>
        <v>1.8900000000000001</v>
      </c>
      <c r="D6" s="24">
        <f t="shared" si="1"/>
        <v>3.4649999999999999</v>
      </c>
      <c r="E6" s="24">
        <f t="shared" si="2"/>
        <v>3.3600000000000003</v>
      </c>
      <c r="F6" s="25"/>
      <c r="G6" s="25"/>
      <c r="H6" s="25"/>
      <c r="I6" s="25"/>
      <c r="J6" s="25">
        <v>0.2397</v>
      </c>
      <c r="K6" s="25">
        <f t="shared" si="4"/>
        <v>0.40859261999999996</v>
      </c>
      <c r="L6" s="25">
        <v>0.24179999999999999</v>
      </c>
      <c r="M6" s="25">
        <f t="shared" si="5"/>
        <v>0.41217227999999995</v>
      </c>
    </row>
    <row r="7" spans="1:15" s="24" customFormat="1">
      <c r="B7" s="24">
        <v>1.1000000000000001</v>
      </c>
      <c r="C7" s="24">
        <f t="shared" si="0"/>
        <v>1.9800000000000002</v>
      </c>
      <c r="D7" s="24">
        <f t="shared" si="1"/>
        <v>3.63</v>
      </c>
      <c r="E7" s="24">
        <f t="shared" si="2"/>
        <v>3.5200000000000005</v>
      </c>
      <c r="F7" s="25"/>
      <c r="G7" s="25"/>
      <c r="H7" s="25"/>
      <c r="I7" s="25"/>
      <c r="J7" s="25">
        <v>0.25330000000000003</v>
      </c>
      <c r="K7" s="25">
        <f t="shared" si="4"/>
        <v>0.43177518000000004</v>
      </c>
      <c r="L7" s="25">
        <v>0.25009999999999999</v>
      </c>
      <c r="M7" s="25">
        <f t="shared" si="5"/>
        <v>0.42632045999999996</v>
      </c>
    </row>
    <row r="8" spans="1:15">
      <c r="A8" s="26">
        <v>0</v>
      </c>
      <c r="B8" s="26">
        <v>0.9</v>
      </c>
      <c r="C8" s="26">
        <f>1.8*B8</f>
        <v>1.62</v>
      </c>
      <c r="D8" s="26">
        <f t="shared" si="1"/>
        <v>2.9699999999999998</v>
      </c>
      <c r="E8" s="26">
        <f t="shared" si="2"/>
        <v>2.8800000000000003</v>
      </c>
      <c r="F8" s="27"/>
      <c r="G8" s="27"/>
      <c r="H8" s="27"/>
      <c r="I8" s="25"/>
      <c r="J8" s="27">
        <v>0.25609999999999999</v>
      </c>
      <c r="K8" s="27">
        <f t="shared" si="4"/>
        <v>0.43654805999999996</v>
      </c>
      <c r="L8" s="27">
        <v>0.2525</v>
      </c>
      <c r="M8" s="27">
        <f t="shared" si="5"/>
        <v>0.4304115</v>
      </c>
      <c r="N8" s="21"/>
    </row>
    <row r="9" spans="1:15">
      <c r="A9" s="26"/>
      <c r="B9" s="26">
        <v>0.95</v>
      </c>
      <c r="C9" s="26">
        <f t="shared" ref="C9:C27" si="7">1.8*B9</f>
        <v>1.71</v>
      </c>
      <c r="D9" s="26">
        <f t="shared" si="1"/>
        <v>3.1349999999999998</v>
      </c>
      <c r="E9" s="26">
        <f t="shared" si="2"/>
        <v>3.04</v>
      </c>
      <c r="F9" s="27">
        <f t="shared" si="6"/>
        <v>0.63568899628670628</v>
      </c>
      <c r="G9" s="27">
        <v>0.44950000000000001</v>
      </c>
      <c r="H9" s="27">
        <v>1.7034</v>
      </c>
      <c r="I9" s="27">
        <f t="shared" si="3"/>
        <v>0.58706117177409889</v>
      </c>
      <c r="J9" s="27">
        <v>0.25219999999999998</v>
      </c>
      <c r="K9" s="27">
        <f t="shared" si="4"/>
        <v>0.42990011999999994</v>
      </c>
      <c r="L9" s="27">
        <v>0.26540000000000002</v>
      </c>
      <c r="M9" s="27">
        <f t="shared" si="5"/>
        <v>0.45240084000000003</v>
      </c>
      <c r="N9" s="21"/>
    </row>
    <row r="10" spans="1:15">
      <c r="A10" s="26"/>
      <c r="B10" s="26">
        <v>1</v>
      </c>
      <c r="C10" s="26">
        <f t="shared" si="7"/>
        <v>1.8</v>
      </c>
      <c r="D10" s="26">
        <f t="shared" si="1"/>
        <v>3.3</v>
      </c>
      <c r="E10" s="26">
        <f t="shared" si="2"/>
        <v>3.2</v>
      </c>
      <c r="F10" s="27">
        <f t="shared" si="6"/>
        <v>0.66708453737138895</v>
      </c>
      <c r="G10" s="27">
        <v>0.47170000000000001</v>
      </c>
      <c r="H10" s="27">
        <v>1.6524000000000001</v>
      </c>
      <c r="I10" s="27">
        <f t="shared" si="3"/>
        <v>0.60518034374243523</v>
      </c>
      <c r="J10" s="27">
        <v>0.26979999999999998</v>
      </c>
      <c r="K10" s="27">
        <f t="shared" si="4"/>
        <v>0.45990107999999996</v>
      </c>
      <c r="L10" s="27">
        <v>0.27410000000000001</v>
      </c>
      <c r="M10" s="27">
        <f t="shared" si="5"/>
        <v>0.46723085999999997</v>
      </c>
      <c r="N10" s="21"/>
    </row>
    <row r="11" spans="1:15">
      <c r="A11" s="26"/>
      <c r="B11" s="26">
        <v>1.05</v>
      </c>
      <c r="C11" s="26">
        <f t="shared" si="7"/>
        <v>1.8900000000000001</v>
      </c>
      <c r="D11" s="26">
        <f t="shared" si="1"/>
        <v>3.4649999999999999</v>
      </c>
      <c r="E11" s="26">
        <f t="shared" si="2"/>
        <v>3.3600000000000003</v>
      </c>
      <c r="F11" s="27">
        <f t="shared" si="6"/>
        <v>0.63611326035541815</v>
      </c>
      <c r="G11" s="27">
        <v>0.44979999999999998</v>
      </c>
      <c r="H11" s="27">
        <v>1.5915999999999999</v>
      </c>
      <c r="I11" s="27">
        <f t="shared" si="3"/>
        <v>0.62829856747926616</v>
      </c>
      <c r="J11" s="27">
        <v>0.25069999999999998</v>
      </c>
      <c r="K11" s="27">
        <f t="shared" si="4"/>
        <v>0.42734321999999991</v>
      </c>
      <c r="L11" s="27">
        <v>0.26219999999999999</v>
      </c>
      <c r="M11" s="27">
        <f t="shared" si="5"/>
        <v>0.44694611999999995</v>
      </c>
      <c r="N11" s="21"/>
    </row>
    <row r="12" spans="1:15">
      <c r="A12" s="26"/>
      <c r="B12" s="26">
        <v>1.1000000000000001</v>
      </c>
      <c r="C12" s="26">
        <f t="shared" si="7"/>
        <v>1.9800000000000002</v>
      </c>
      <c r="D12" s="26">
        <f t="shared" si="1"/>
        <v>3.63</v>
      </c>
      <c r="E12" s="26">
        <f t="shared" si="2"/>
        <v>3.5200000000000005</v>
      </c>
      <c r="F12" s="27">
        <f t="shared" si="6"/>
        <v>0.64049732239877477</v>
      </c>
      <c r="G12" s="27">
        <v>0.45290000000000002</v>
      </c>
      <c r="H12" s="27">
        <v>1.548</v>
      </c>
      <c r="I12" s="27">
        <f t="shared" si="3"/>
        <v>0.64599483204134367</v>
      </c>
      <c r="J12" s="27">
        <v>0.23400000000000001</v>
      </c>
      <c r="K12" s="27">
        <f t="shared" si="4"/>
        <v>0.39887640000000002</v>
      </c>
      <c r="L12" s="27">
        <v>0.26979999999999998</v>
      </c>
      <c r="M12" s="27">
        <f t="shared" si="5"/>
        <v>0.45990107999999996</v>
      </c>
      <c r="N12" s="21"/>
    </row>
    <row r="13" spans="1:15">
      <c r="A13" s="22">
        <v>25</v>
      </c>
      <c r="B13" s="22">
        <v>0.9</v>
      </c>
      <c r="C13" s="22">
        <f t="shared" si="7"/>
        <v>1.62</v>
      </c>
      <c r="D13" s="22">
        <f t="shared" si="1"/>
        <v>2.9699999999999998</v>
      </c>
      <c r="E13" s="22">
        <f t="shared" si="2"/>
        <v>2.8800000000000003</v>
      </c>
      <c r="F13" s="23">
        <f t="shared" si="6"/>
        <v>0.65294240174765805</v>
      </c>
      <c r="G13" s="23">
        <v>0.4617</v>
      </c>
      <c r="H13" s="23">
        <v>1.9381999999999999</v>
      </c>
      <c r="I13" s="23">
        <f t="shared" si="3"/>
        <v>0.51594262717985762</v>
      </c>
      <c r="J13" s="23">
        <v>0.26540000000000002</v>
      </c>
      <c r="K13" s="23">
        <f t="shared" si="4"/>
        <v>0.45240084000000003</v>
      </c>
      <c r="L13" s="23">
        <v>0.26540000000000002</v>
      </c>
      <c r="M13" s="23">
        <f t="shared" si="5"/>
        <v>0.45240084000000003</v>
      </c>
      <c r="N13" s="22"/>
      <c r="O13" s="22"/>
    </row>
    <row r="14" spans="1:15">
      <c r="A14" s="22"/>
      <c r="B14" s="22">
        <v>0.95</v>
      </c>
      <c r="C14" s="22">
        <f t="shared" si="7"/>
        <v>1.71</v>
      </c>
      <c r="D14" s="22">
        <f t="shared" si="1"/>
        <v>3.1349999999999998</v>
      </c>
      <c r="E14" s="22">
        <f t="shared" si="2"/>
        <v>3.04</v>
      </c>
      <c r="F14" s="23">
        <f t="shared" si="6"/>
        <v>0.65025539597914916</v>
      </c>
      <c r="G14" s="23">
        <v>0.45979999999999999</v>
      </c>
      <c r="H14" s="23">
        <v>1.7969999999999999</v>
      </c>
      <c r="I14" s="23">
        <f t="shared" si="3"/>
        <v>0.55648302726766841</v>
      </c>
      <c r="J14" s="23">
        <v>0.26429999999999998</v>
      </c>
      <c r="K14" s="23">
        <f t="shared" si="4"/>
        <v>0.45052577999999993</v>
      </c>
      <c r="L14" s="23">
        <v>0.27810000000000001</v>
      </c>
      <c r="M14" s="23">
        <f t="shared" si="5"/>
        <v>0.47404925999999997</v>
      </c>
      <c r="N14" s="22"/>
      <c r="O14" s="22"/>
    </row>
    <row r="15" spans="1:15">
      <c r="A15" s="22"/>
      <c r="B15" s="22">
        <v>1</v>
      </c>
      <c r="C15" s="22">
        <f t="shared" si="7"/>
        <v>1.8</v>
      </c>
      <c r="D15" s="22">
        <f t="shared" si="1"/>
        <v>3.3</v>
      </c>
      <c r="E15" s="22">
        <f t="shared" si="2"/>
        <v>3.2</v>
      </c>
      <c r="F15" s="23">
        <f t="shared" si="6"/>
        <v>0.63540615357423158</v>
      </c>
      <c r="G15" s="23">
        <v>0.44929999999999998</v>
      </c>
      <c r="H15" s="23">
        <v>1.7045999999999999</v>
      </c>
      <c r="I15" s="23">
        <f t="shared" si="3"/>
        <v>0.5866478939340608</v>
      </c>
      <c r="J15" s="23">
        <v>0.25369999999999998</v>
      </c>
      <c r="K15" s="23">
        <f t="shared" si="4"/>
        <v>0.43245701999999991</v>
      </c>
      <c r="L15" s="23">
        <v>0.26619999999999999</v>
      </c>
      <c r="M15" s="23">
        <f t="shared" si="5"/>
        <v>0.45376451999999995</v>
      </c>
      <c r="N15" s="22"/>
      <c r="O15" s="22"/>
    </row>
    <row r="16" spans="1:15">
      <c r="A16" s="22"/>
      <c r="B16" s="22">
        <v>1.05</v>
      </c>
      <c r="C16" s="22">
        <f t="shared" si="7"/>
        <v>1.8900000000000001</v>
      </c>
      <c r="D16" s="22">
        <f t="shared" si="1"/>
        <v>3.4649999999999999</v>
      </c>
      <c r="E16" s="22">
        <f t="shared" si="2"/>
        <v>3.3600000000000003</v>
      </c>
      <c r="F16" s="23">
        <f t="shared" si="6"/>
        <v>0.66057915498447273</v>
      </c>
      <c r="G16" s="23">
        <v>0.46710000000000002</v>
      </c>
      <c r="H16" s="23">
        <v>1.6422000000000001</v>
      </c>
      <c r="I16" s="23">
        <f t="shared" si="3"/>
        <v>0.60893922786505905</v>
      </c>
      <c r="J16" s="23">
        <v>0.26019999999999999</v>
      </c>
      <c r="K16" s="23">
        <f t="shared" si="4"/>
        <v>0.44353691999999995</v>
      </c>
      <c r="L16" s="23">
        <v>0.26079999999999998</v>
      </c>
      <c r="M16" s="23">
        <f t="shared" si="5"/>
        <v>0.44455967999999996</v>
      </c>
      <c r="N16" s="22"/>
      <c r="O16" s="22"/>
    </row>
    <row r="17" spans="1:15">
      <c r="A17" s="22"/>
      <c r="B17" s="22">
        <v>1.1000000000000001</v>
      </c>
      <c r="C17" s="22">
        <f t="shared" si="7"/>
        <v>1.9800000000000002</v>
      </c>
      <c r="D17" s="22">
        <f t="shared" si="1"/>
        <v>3.63</v>
      </c>
      <c r="E17" s="22">
        <f t="shared" si="2"/>
        <v>3.5200000000000005</v>
      </c>
      <c r="F17" s="23">
        <f t="shared" si="6"/>
        <v>0.67712545366423793</v>
      </c>
      <c r="G17" s="23">
        <v>0.4788</v>
      </c>
      <c r="H17" s="23">
        <v>1.5962000000000001</v>
      </c>
      <c r="I17" s="23">
        <f t="shared" si="3"/>
        <v>0.62648790878336047</v>
      </c>
      <c r="J17" s="23">
        <v>0.26350000000000001</v>
      </c>
      <c r="K17" s="23">
        <f t="shared" si="4"/>
        <v>0.44916210000000001</v>
      </c>
      <c r="L17" s="23">
        <v>0.28129999999999999</v>
      </c>
      <c r="M17" s="23">
        <f t="shared" si="5"/>
        <v>0.47950397999999994</v>
      </c>
      <c r="N17" s="22"/>
      <c r="O17" s="22"/>
    </row>
    <row r="18" spans="1:15">
      <c r="A18" s="31">
        <v>50</v>
      </c>
      <c r="B18" s="31">
        <v>0.9</v>
      </c>
      <c r="C18" s="31">
        <f t="shared" si="7"/>
        <v>1.62</v>
      </c>
      <c r="D18" s="31">
        <f t="shared" si="1"/>
        <v>2.9699999999999998</v>
      </c>
      <c r="E18" s="31">
        <f t="shared" si="2"/>
        <v>2.8800000000000003</v>
      </c>
      <c r="F18" s="32">
        <f t="shared" si="6"/>
        <v>0.66864017228999939</v>
      </c>
      <c r="G18" s="32">
        <v>0.4728</v>
      </c>
      <c r="H18" s="32">
        <v>1.8441000000000001</v>
      </c>
      <c r="I18" s="32">
        <f t="shared" si="3"/>
        <v>0.5422699419771162</v>
      </c>
      <c r="J18" s="32">
        <v>0.2382</v>
      </c>
      <c r="K18" s="32">
        <f t="shared" si="4"/>
        <v>0.40603571999999999</v>
      </c>
      <c r="L18" s="32">
        <v>0.27210000000000001</v>
      </c>
      <c r="M18" s="32">
        <f t="shared" si="5"/>
        <v>0.46382165999999997</v>
      </c>
      <c r="N18" s="28"/>
    </row>
    <row r="19" spans="1:15">
      <c r="A19" s="31"/>
      <c r="B19" s="31">
        <v>0.95</v>
      </c>
      <c r="C19" s="31">
        <f t="shared" si="7"/>
        <v>1.71</v>
      </c>
      <c r="D19" s="31">
        <f t="shared" si="1"/>
        <v>3.1349999999999998</v>
      </c>
      <c r="E19" s="31">
        <f t="shared" si="2"/>
        <v>3.04</v>
      </c>
      <c r="F19" s="32">
        <f t="shared" si="6"/>
        <v>0.66340758210921891</v>
      </c>
      <c r="G19" s="32">
        <v>0.46910000000000002</v>
      </c>
      <c r="H19" s="32">
        <v>1.8411999999999999</v>
      </c>
      <c r="I19" s="32">
        <f t="shared" si="3"/>
        <v>0.54312404953291338</v>
      </c>
      <c r="J19" s="32">
        <v>0.27329999999999999</v>
      </c>
      <c r="K19" s="32">
        <f t="shared" si="4"/>
        <v>0.46586717999999994</v>
      </c>
      <c r="L19" s="32">
        <v>0.27810000000000001</v>
      </c>
      <c r="M19" s="32">
        <f t="shared" si="5"/>
        <v>0.47404925999999997</v>
      </c>
      <c r="N19" s="28"/>
    </row>
    <row r="20" spans="1:15">
      <c r="A20" s="31"/>
      <c r="B20" s="31">
        <v>1</v>
      </c>
      <c r="C20" s="31">
        <f t="shared" si="7"/>
        <v>1.8</v>
      </c>
      <c r="D20" s="31">
        <f t="shared" si="1"/>
        <v>3.3</v>
      </c>
      <c r="E20" s="31">
        <f t="shared" si="2"/>
        <v>3.2</v>
      </c>
      <c r="F20" s="32">
        <f t="shared" si="6"/>
        <v>0.69296464556281656</v>
      </c>
      <c r="G20" s="32">
        <v>0.49</v>
      </c>
      <c r="H20" s="32">
        <v>1.8408</v>
      </c>
      <c r="I20" s="32">
        <f t="shared" si="3"/>
        <v>0.5432420686657975</v>
      </c>
      <c r="J20" s="32">
        <v>0.26989999999999997</v>
      </c>
      <c r="K20" s="32">
        <f t="shared" si="4"/>
        <v>0.46007153999999995</v>
      </c>
      <c r="L20" s="32">
        <v>0.27860000000000001</v>
      </c>
      <c r="M20" s="32">
        <f t="shared" si="5"/>
        <v>0.47490156</v>
      </c>
      <c r="N20" s="28"/>
    </row>
    <row r="21" spans="1:15">
      <c r="A21" s="31"/>
      <c r="B21" s="31">
        <v>1.05</v>
      </c>
      <c r="C21" s="31">
        <f t="shared" si="7"/>
        <v>1.8900000000000001</v>
      </c>
      <c r="D21" s="31">
        <f t="shared" si="1"/>
        <v>3.4649999999999999</v>
      </c>
      <c r="E21" s="31">
        <f t="shared" si="2"/>
        <v>3.3600000000000003</v>
      </c>
      <c r="F21" s="32">
        <f t="shared" si="6"/>
        <v>0.67811540315789909</v>
      </c>
      <c r="G21" s="32">
        <v>0.47949999999999998</v>
      </c>
      <c r="H21" s="32">
        <v>1.84</v>
      </c>
      <c r="I21" s="32">
        <f t="shared" si="3"/>
        <v>0.54347826086956519</v>
      </c>
      <c r="J21" s="32">
        <v>0.24540000000000001</v>
      </c>
      <c r="K21" s="32">
        <f t="shared" si="4"/>
        <v>0.41830883999999996</v>
      </c>
      <c r="L21" s="32">
        <v>0.28649999999999998</v>
      </c>
      <c r="M21" s="32">
        <f t="shared" si="5"/>
        <v>0.48836789999999991</v>
      </c>
      <c r="N21" s="28"/>
    </row>
    <row r="22" spans="1:15">
      <c r="A22" s="31"/>
      <c r="B22" s="31">
        <v>1.1000000000000001</v>
      </c>
      <c r="C22" s="31">
        <f t="shared" si="7"/>
        <v>1.9800000000000002</v>
      </c>
      <c r="D22" s="31">
        <f t="shared" si="1"/>
        <v>3.63</v>
      </c>
      <c r="E22" s="31">
        <f t="shared" si="2"/>
        <v>3.5200000000000005</v>
      </c>
      <c r="F22" s="32">
        <f t="shared" si="6"/>
        <v>0.69862149981230903</v>
      </c>
      <c r="G22" s="32">
        <v>0.49399999999999999</v>
      </c>
      <c r="H22" s="32">
        <v>1.8372999999999999</v>
      </c>
      <c r="I22" s="32">
        <f t="shared" si="3"/>
        <v>0.5442769281010178</v>
      </c>
      <c r="J22" s="32">
        <v>0.25719999999999998</v>
      </c>
      <c r="K22" s="32">
        <f t="shared" si="4"/>
        <v>0.43842311999999994</v>
      </c>
      <c r="L22" s="32">
        <v>0.26590000000000003</v>
      </c>
      <c r="M22" s="32">
        <f t="shared" si="5"/>
        <v>0.45325314</v>
      </c>
      <c r="N22" s="28"/>
    </row>
    <row r="23" spans="1:15">
      <c r="A23" s="29">
        <v>75</v>
      </c>
      <c r="B23" s="29">
        <v>0.9</v>
      </c>
      <c r="C23" s="29">
        <f t="shared" si="7"/>
        <v>1.62</v>
      </c>
      <c r="D23" s="29">
        <f t="shared" si="1"/>
        <v>2.9699999999999998</v>
      </c>
      <c r="E23" s="29">
        <f t="shared" si="2"/>
        <v>2.8800000000000003</v>
      </c>
      <c r="F23" s="30">
        <f t="shared" si="6"/>
        <v>0.70201561236200449</v>
      </c>
      <c r="G23" s="30">
        <v>0.49640000000000001</v>
      </c>
      <c r="H23" s="30">
        <v>2.04</v>
      </c>
      <c r="I23" s="30">
        <f t="shared" si="3"/>
        <v>0.49019607843137253</v>
      </c>
      <c r="J23" s="30">
        <v>0.27800000000000002</v>
      </c>
      <c r="K23" s="30">
        <f t="shared" si="4"/>
        <v>0.47387879999999999</v>
      </c>
      <c r="L23" s="30">
        <v>0.30709999999999998</v>
      </c>
      <c r="M23" s="30">
        <f t="shared" si="5"/>
        <v>0.52348265999999999</v>
      </c>
      <c r="N23" s="29"/>
    </row>
    <row r="24" spans="1:15">
      <c r="A24" s="29"/>
      <c r="B24" s="29">
        <v>0.95</v>
      </c>
      <c r="C24" s="29">
        <f t="shared" si="7"/>
        <v>1.71</v>
      </c>
      <c r="D24" s="29">
        <f t="shared" si="1"/>
        <v>3.1349999999999998</v>
      </c>
      <c r="E24" s="29">
        <f t="shared" si="2"/>
        <v>3.04</v>
      </c>
      <c r="F24" s="30">
        <f t="shared" si="6"/>
        <v>0.70300556185566554</v>
      </c>
      <c r="G24" s="30">
        <v>0.49709999999999999</v>
      </c>
      <c r="H24" s="30">
        <v>1.8954</v>
      </c>
      <c r="I24" s="30">
        <f t="shared" si="3"/>
        <v>0.52759312018571281</v>
      </c>
      <c r="J24" s="30">
        <v>0.29730000000000001</v>
      </c>
      <c r="K24" s="30">
        <f t="shared" si="4"/>
        <v>0.50677757999999995</v>
      </c>
      <c r="L24" s="30">
        <v>0.29799999999999999</v>
      </c>
      <c r="M24" s="30">
        <f t="shared" si="5"/>
        <v>0.50797079999999994</v>
      </c>
      <c r="N24" s="29"/>
    </row>
    <row r="25" spans="1:15">
      <c r="A25" s="29"/>
      <c r="B25" s="29">
        <v>1</v>
      </c>
      <c r="C25" s="29">
        <f t="shared" si="7"/>
        <v>1.8</v>
      </c>
      <c r="D25" s="29">
        <f t="shared" si="1"/>
        <v>3.3</v>
      </c>
      <c r="E25" s="29">
        <f t="shared" si="2"/>
        <v>3.2</v>
      </c>
      <c r="F25" s="30">
        <f t="shared" si="6"/>
        <v>0.70427835406180139</v>
      </c>
      <c r="G25" s="30">
        <v>0.498</v>
      </c>
      <c r="H25" s="30">
        <v>1.8176000000000001</v>
      </c>
      <c r="I25" s="30">
        <f t="shared" si="3"/>
        <v>0.55017605633802813</v>
      </c>
      <c r="J25" s="30">
        <v>0.27039999999999997</v>
      </c>
      <c r="K25" s="30">
        <f t="shared" si="4"/>
        <v>0.46092383999999992</v>
      </c>
      <c r="L25" s="30">
        <v>0.28970000000000001</v>
      </c>
      <c r="M25" s="30">
        <f t="shared" si="5"/>
        <v>0.49382261999999999</v>
      </c>
      <c r="N25" s="29"/>
    </row>
    <row r="26" spans="1:15">
      <c r="A26" s="29"/>
      <c r="B26" s="29">
        <v>1.05</v>
      </c>
      <c r="C26" s="29">
        <f t="shared" si="7"/>
        <v>1.8900000000000001</v>
      </c>
      <c r="D26" s="29">
        <f t="shared" si="1"/>
        <v>3.4649999999999999</v>
      </c>
      <c r="E26" s="29">
        <f t="shared" si="2"/>
        <v>3.3600000000000003</v>
      </c>
      <c r="F26" s="30">
        <f t="shared" si="6"/>
        <v>0.68447936418857802</v>
      </c>
      <c r="G26" s="30">
        <v>0.48399999999999999</v>
      </c>
      <c r="H26" s="30">
        <v>1.7306999999999999</v>
      </c>
      <c r="I26" s="30">
        <f t="shared" si="3"/>
        <v>0.5778008898133703</v>
      </c>
      <c r="J26" s="30">
        <v>0.26500000000000001</v>
      </c>
      <c r="K26" s="30">
        <f t="shared" si="4"/>
        <v>0.45171899999999998</v>
      </c>
      <c r="L26" s="30">
        <v>0.29399999999999998</v>
      </c>
      <c r="M26" s="30">
        <f t="shared" si="5"/>
        <v>0.50115239999999994</v>
      </c>
      <c r="N26" s="29"/>
    </row>
    <row r="27" spans="1:15">
      <c r="A27" s="29"/>
      <c r="B27" s="29">
        <v>1.1000000000000001</v>
      </c>
      <c r="C27" s="29">
        <f t="shared" si="7"/>
        <v>1.9800000000000002</v>
      </c>
      <c r="D27" s="29">
        <f t="shared" si="1"/>
        <v>3.63</v>
      </c>
      <c r="E27" s="29">
        <f t="shared" si="2"/>
        <v>3.5200000000000005</v>
      </c>
      <c r="F27" s="30">
        <f t="shared" si="6"/>
        <v>0.67344849840206789</v>
      </c>
      <c r="G27" s="30">
        <v>0.47620000000000001</v>
      </c>
      <c r="H27" s="30">
        <v>1.681</v>
      </c>
      <c r="I27" s="30">
        <f t="shared" si="3"/>
        <v>0.59488399762046396</v>
      </c>
      <c r="J27" s="30">
        <v>0.26140000000000002</v>
      </c>
      <c r="K27" s="30">
        <f t="shared" si="4"/>
        <v>0.44558244000000002</v>
      </c>
      <c r="L27" s="30">
        <v>0.28449999999999998</v>
      </c>
      <c r="M27" s="30">
        <f t="shared" si="5"/>
        <v>0.48495869999999991</v>
      </c>
      <c r="N27" s="29"/>
    </row>
    <row r="28" spans="1:15">
      <c r="A28" s="29"/>
      <c r="B28" s="29"/>
      <c r="C28" s="29"/>
      <c r="D28" s="29"/>
      <c r="E28" s="29"/>
      <c r="F28" s="30"/>
      <c r="G28" s="30"/>
      <c r="H28" s="30"/>
      <c r="I28" s="30"/>
      <c r="J28" s="30"/>
      <c r="K28" s="30"/>
      <c r="L28" s="30"/>
      <c r="M28" s="25"/>
      <c r="N28" s="29"/>
    </row>
    <row r="29" spans="1:15">
      <c r="A29" s="19" t="s">
        <v>33</v>
      </c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</row>
    <row r="30" spans="1:15" ht="54">
      <c r="A30" s="20" t="s">
        <v>24</v>
      </c>
      <c r="B30" s="20" t="s">
        <v>7</v>
      </c>
      <c r="C30" s="20" t="s">
        <v>8</v>
      </c>
      <c r="D30" s="20" t="s">
        <v>9</v>
      </c>
      <c r="E30" s="20" t="s">
        <v>10</v>
      </c>
      <c r="F30" s="20" t="s">
        <v>25</v>
      </c>
      <c r="G30" s="20" t="s">
        <v>29</v>
      </c>
      <c r="H30" s="20" t="s">
        <v>26</v>
      </c>
      <c r="I30" s="20" t="s">
        <v>34</v>
      </c>
      <c r="J30" s="20" t="s">
        <v>27</v>
      </c>
      <c r="K30" s="20" t="s">
        <v>30</v>
      </c>
      <c r="L30" s="20" t="s">
        <v>28</v>
      </c>
      <c r="M30" s="19" t="s">
        <v>31</v>
      </c>
    </row>
    <row r="31" spans="1:15">
      <c r="A31" s="22">
        <v>25</v>
      </c>
      <c r="B31" s="22">
        <v>0.9</v>
      </c>
      <c r="C31" s="22">
        <f>1.8*B31</f>
        <v>1.62</v>
      </c>
      <c r="D31" s="22">
        <f>3.3*B31</f>
        <v>2.9699999999999998</v>
      </c>
      <c r="E31" s="22">
        <f>3.2*B31</f>
        <v>2.8800000000000003</v>
      </c>
      <c r="F31" s="23">
        <v>0.66700000000000004</v>
      </c>
      <c r="G31" s="23">
        <f>F31/SQRT(2)</f>
        <v>0.47164022305142717</v>
      </c>
      <c r="H31" s="23">
        <v>1.8819999999999999</v>
      </c>
      <c r="I31" s="23">
        <f>1/H31</f>
        <v>0.53134962805526043</v>
      </c>
      <c r="J31" s="23">
        <v>0.2387</v>
      </c>
      <c r="K31" s="23">
        <v>0.40010000000000001</v>
      </c>
      <c r="L31" s="23">
        <v>0.25559999999999999</v>
      </c>
      <c r="M31" s="23">
        <v>0.4284</v>
      </c>
    </row>
    <row r="32" spans="1:15">
      <c r="A32" s="22"/>
      <c r="B32" s="22">
        <v>0.95</v>
      </c>
      <c r="C32" s="22">
        <f t="shared" ref="C32:C35" si="8">1.8*B32</f>
        <v>1.71</v>
      </c>
      <c r="D32" s="22">
        <f t="shared" ref="D32:D35" si="9">3.3*B32</f>
        <v>3.1349999999999998</v>
      </c>
      <c r="E32" s="22">
        <f t="shared" ref="E32:E35" si="10">3.2*B32</f>
        <v>3.04</v>
      </c>
      <c r="F32" s="23">
        <v>0.65980000000000005</v>
      </c>
      <c r="G32" s="23">
        <f t="shared" ref="G32:G35" si="11">F32/SQRT(2)</f>
        <v>0.46654905422688409</v>
      </c>
      <c r="H32" s="23">
        <v>1.758</v>
      </c>
      <c r="I32" s="23">
        <f t="shared" ref="I32:I35" si="12">1/H32</f>
        <v>0.56882821387940841</v>
      </c>
      <c r="J32" s="23">
        <v>0.25580000000000003</v>
      </c>
      <c r="K32" s="23">
        <v>0.42070000000000002</v>
      </c>
      <c r="L32" s="23">
        <v>0.25580000000000003</v>
      </c>
      <c r="M32" s="23">
        <v>0.42070000000000002</v>
      </c>
    </row>
    <row r="33" spans="1:13">
      <c r="A33" s="22"/>
      <c r="B33" s="22">
        <v>1</v>
      </c>
      <c r="C33" s="22">
        <f t="shared" si="8"/>
        <v>1.8</v>
      </c>
      <c r="D33" s="22">
        <f t="shared" si="9"/>
        <v>3.3</v>
      </c>
      <c r="E33" s="22">
        <f t="shared" si="10"/>
        <v>3.2</v>
      </c>
      <c r="F33" s="23">
        <v>0.66869999999999996</v>
      </c>
      <c r="G33" s="23">
        <f t="shared" si="11"/>
        <v>0.47284230457944426</v>
      </c>
      <c r="H33" s="23">
        <v>1.6759999999999999</v>
      </c>
      <c r="I33" s="23">
        <f t="shared" si="12"/>
        <v>0.59665871121718383</v>
      </c>
      <c r="J33" s="23">
        <v>0.26150000000000001</v>
      </c>
      <c r="K33" s="23">
        <v>0.43840000000000001</v>
      </c>
      <c r="L33" s="23">
        <v>0.26290000000000002</v>
      </c>
      <c r="M33" s="23">
        <v>0.44059999999999999</v>
      </c>
    </row>
    <row r="34" spans="1:13">
      <c r="A34" s="22"/>
      <c r="B34" s="22">
        <v>1.05</v>
      </c>
      <c r="C34" s="22">
        <f t="shared" si="8"/>
        <v>1.8900000000000001</v>
      </c>
      <c r="D34" s="22">
        <f t="shared" si="9"/>
        <v>3.4649999999999999</v>
      </c>
      <c r="E34" s="22">
        <f t="shared" si="10"/>
        <v>3.3600000000000003</v>
      </c>
      <c r="F34" s="23">
        <v>0.65949999999999998</v>
      </c>
      <c r="G34" s="23">
        <f t="shared" si="11"/>
        <v>0.46633692219252804</v>
      </c>
      <c r="H34" s="23">
        <v>1.6208</v>
      </c>
      <c r="I34" s="23">
        <f t="shared" si="12"/>
        <v>0.61697926949654491</v>
      </c>
      <c r="J34" s="23">
        <v>0.2591</v>
      </c>
      <c r="K34" s="23">
        <v>0.43430000000000002</v>
      </c>
      <c r="L34" s="23">
        <v>0.25700000000000001</v>
      </c>
      <c r="M34" s="23">
        <v>0.43070000000000003</v>
      </c>
    </row>
    <row r="35" spans="1:13">
      <c r="A35" s="22"/>
      <c r="B35" s="22">
        <v>1.1000000000000001</v>
      </c>
      <c r="C35" s="22">
        <f t="shared" si="8"/>
        <v>1.9800000000000002</v>
      </c>
      <c r="D35" s="22">
        <f t="shared" si="9"/>
        <v>3.63</v>
      </c>
      <c r="E35" s="22">
        <f t="shared" si="10"/>
        <v>3.5200000000000005</v>
      </c>
      <c r="F35" s="23">
        <v>0.64459999999999995</v>
      </c>
      <c r="G35" s="23">
        <f t="shared" si="11"/>
        <v>0.45580103115284848</v>
      </c>
      <c r="H35" s="23">
        <v>1.5848</v>
      </c>
      <c r="I35" s="23">
        <f t="shared" si="12"/>
        <v>0.63099444724886422</v>
      </c>
      <c r="J35" s="23">
        <v>0.25030000000000002</v>
      </c>
      <c r="K35" s="23">
        <v>0.4194</v>
      </c>
      <c r="L35" s="23">
        <v>0.26769999999999999</v>
      </c>
      <c r="M35" s="23">
        <v>0.4486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sony</dc:creator>
  <cp:lastModifiedBy>Suyao Ji</cp:lastModifiedBy>
  <dcterms:created xsi:type="dcterms:W3CDTF">2015-11-16T21:18:06Z</dcterms:created>
  <dcterms:modified xsi:type="dcterms:W3CDTF">2015-12-07T19:26:20Z</dcterms:modified>
</cp:coreProperties>
</file>