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Z:\repositories\cff-research\data\"/>
    </mc:Choice>
  </mc:AlternateContent>
  <xr:revisionPtr revIDLastSave="0" documentId="13_ncr:1_{3ECF0896-AAE6-43BE-A620-75BB6D2ACFB4}" xr6:coauthVersionLast="47" xr6:coauthVersionMax="47" xr10:uidLastSave="{00000000-0000-0000-0000-000000000000}"/>
  <bookViews>
    <workbookView xWindow="-30828" yWindow="-2904" windowWidth="30936" windowHeight="16776" tabRatio="697" activeTab="3" xr2:uid="{3204C202-7188-45B5-A184-A3CC4EC46C55}"/>
  </bookViews>
  <sheets>
    <sheet name="CFF" sheetId="1" r:id="rId1"/>
    <sheet name="CFF Clean Data" sheetId="6" r:id="rId2"/>
    <sheet name="python_impact" sheetId="7" r:id="rId3"/>
    <sheet name="python_distr" sheetId="8" r:id="rId4"/>
    <sheet name="A,R,Q Variables" sheetId="2" r:id="rId5"/>
    <sheet name="Case Study 1" sheetId="3" r:id="rId6"/>
    <sheet name="Case Study 2" sheetId="4" r:id="rId7"/>
    <sheet name="Calculations" sheetId="5" r:id="rId8"/>
  </sheets>
  <definedNames>
    <definedName name="_xlnm._FilterDatabase" localSheetId="6" hidden="1">'Case Study 2'!$B$135:$J$153</definedName>
    <definedName name="_xlnm._FilterDatabase" localSheetId="3" hidden="1">python_distr!$A$1:$G$43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7" l="1"/>
  <c r="I37" i="7"/>
  <c r="I12" i="7"/>
  <c r="I17" i="7"/>
  <c r="I22" i="7"/>
  <c r="I27" i="7"/>
  <c r="I32" i="7"/>
  <c r="I7" i="7"/>
  <c r="F41" i="7"/>
  <c r="F40" i="7"/>
  <c r="F39" i="7"/>
  <c r="F38" i="7"/>
  <c r="F37" i="7"/>
  <c r="F36" i="7"/>
  <c r="F35" i="7"/>
  <c r="F34" i="7"/>
  <c r="F33" i="7"/>
  <c r="F32" i="7"/>
  <c r="J32" i="7" s="1"/>
  <c r="F31" i="7"/>
  <c r="F30" i="7"/>
  <c r="F29" i="7"/>
  <c r="F28" i="7"/>
  <c r="F27" i="7"/>
  <c r="J27" i="7" s="1"/>
  <c r="F26" i="7"/>
  <c r="F25" i="7"/>
  <c r="F24" i="7"/>
  <c r="F23" i="7"/>
  <c r="F22" i="7"/>
  <c r="J22" i="7" s="1"/>
  <c r="F21" i="7"/>
  <c r="F20" i="7"/>
  <c r="F19" i="7"/>
  <c r="F18" i="7"/>
  <c r="F17" i="7"/>
  <c r="J17" i="7" s="1"/>
  <c r="F16" i="7"/>
  <c r="F15" i="7"/>
  <c r="F14" i="7"/>
  <c r="F13" i="7"/>
  <c r="F12" i="7"/>
  <c r="J12" i="7" s="1"/>
  <c r="F11" i="7"/>
  <c r="F10" i="7"/>
  <c r="F9" i="7"/>
  <c r="F8" i="7"/>
  <c r="F7" i="7"/>
  <c r="J7" i="7" s="1"/>
  <c r="E41" i="7"/>
  <c r="E40" i="7"/>
  <c r="E39" i="7"/>
  <c r="E38" i="7"/>
  <c r="E36" i="7"/>
  <c r="E35" i="7"/>
  <c r="E34" i="7"/>
  <c r="E33" i="7"/>
  <c r="E31" i="7"/>
  <c r="E30" i="7"/>
  <c r="E29" i="7"/>
  <c r="J29" i="7" s="1"/>
  <c r="E28" i="7"/>
  <c r="E26" i="7"/>
  <c r="E25" i="7"/>
  <c r="E24" i="7"/>
  <c r="E23" i="7"/>
  <c r="E21" i="7"/>
  <c r="E20" i="7"/>
  <c r="E19" i="7"/>
  <c r="E18" i="7"/>
  <c r="E16" i="7"/>
  <c r="E15" i="7"/>
  <c r="E14" i="7"/>
  <c r="E13" i="7"/>
  <c r="E11" i="7"/>
  <c r="E10" i="7"/>
  <c r="E9" i="7"/>
  <c r="E8" i="7"/>
  <c r="D41" i="7"/>
  <c r="D40" i="7"/>
  <c r="D39" i="7"/>
  <c r="D38" i="7"/>
  <c r="D36" i="7"/>
  <c r="D35" i="7"/>
  <c r="D34" i="7"/>
  <c r="D33" i="7"/>
  <c r="D31" i="7"/>
  <c r="J31" i="7" s="1"/>
  <c r="D30" i="7"/>
  <c r="D29" i="7"/>
  <c r="D28" i="7"/>
  <c r="D26" i="7"/>
  <c r="D25" i="7"/>
  <c r="D24" i="7"/>
  <c r="J24" i="7" s="1"/>
  <c r="D23" i="7"/>
  <c r="J23" i="7" s="1"/>
  <c r="D21" i="7"/>
  <c r="J21" i="7" s="1"/>
  <c r="D20" i="7"/>
  <c r="J20" i="7" s="1"/>
  <c r="D19" i="7"/>
  <c r="D18" i="7"/>
  <c r="D16" i="7"/>
  <c r="D15" i="7"/>
  <c r="D14" i="7"/>
  <c r="J14" i="7" s="1"/>
  <c r="D13" i="7"/>
  <c r="J13" i="7" s="1"/>
  <c r="D11" i="7"/>
  <c r="D10" i="7"/>
  <c r="J10" i="7" s="1"/>
  <c r="D9" i="7"/>
  <c r="D8" i="7"/>
  <c r="C41" i="7"/>
  <c r="C40" i="7"/>
  <c r="C39" i="7"/>
  <c r="C38" i="7"/>
  <c r="C36" i="7"/>
  <c r="C35" i="7"/>
  <c r="C34" i="7"/>
  <c r="C33" i="7"/>
  <c r="C31" i="7"/>
  <c r="C30" i="7"/>
  <c r="C29" i="7"/>
  <c r="C28" i="7"/>
  <c r="C26" i="7"/>
  <c r="C25" i="7"/>
  <c r="C24" i="7"/>
  <c r="C23" i="7"/>
  <c r="C21" i="7"/>
  <c r="J34" i="7" l="1"/>
  <c r="J35" i="7"/>
  <c r="J30" i="7"/>
  <c r="J41" i="7"/>
  <c r="J33" i="7"/>
  <c r="J15" i="7"/>
  <c r="J25" i="7"/>
  <c r="J16" i="7"/>
  <c r="J26" i="7"/>
  <c r="J36" i="7"/>
  <c r="J11" i="7"/>
  <c r="J38" i="7"/>
  <c r="J8" i="7"/>
  <c r="J18" i="7"/>
  <c r="J28" i="7"/>
  <c r="J9" i="7"/>
  <c r="J19" i="7"/>
  <c r="J39" i="7"/>
  <c r="J40" i="7"/>
  <c r="C20" i="7"/>
  <c r="C19" i="7"/>
  <c r="C18" i="7"/>
  <c r="C16" i="7"/>
  <c r="C15" i="7"/>
  <c r="C14" i="7"/>
  <c r="C13" i="7"/>
  <c r="C11" i="7"/>
  <c r="C10" i="7"/>
  <c r="C9" i="7"/>
  <c r="C8" i="7"/>
  <c r="B41" i="7"/>
  <c r="I41" i="7" s="1"/>
  <c r="B40" i="7"/>
  <c r="I40" i="7" s="1"/>
  <c r="B39" i="7"/>
  <c r="I39" i="7" s="1"/>
  <c r="B38" i="7"/>
  <c r="I38" i="7" s="1"/>
  <c r="B36" i="7"/>
  <c r="I36" i="7" s="1"/>
  <c r="B35" i="7"/>
  <c r="I35" i="7" s="1"/>
  <c r="B34" i="7"/>
  <c r="I34" i="7" s="1"/>
  <c r="B33" i="7"/>
  <c r="I33" i="7" s="1"/>
  <c r="B31" i="7"/>
  <c r="I31" i="7" s="1"/>
  <c r="B30" i="7"/>
  <c r="I30" i="7" s="1"/>
  <c r="B29" i="7"/>
  <c r="I29" i="7" s="1"/>
  <c r="B28" i="7"/>
  <c r="I28" i="7" s="1"/>
  <c r="B26" i="7"/>
  <c r="I26" i="7" s="1"/>
  <c r="B25" i="7"/>
  <c r="I25" i="7" s="1"/>
  <c r="B24" i="7"/>
  <c r="I24" i="7" s="1"/>
  <c r="B23" i="7"/>
  <c r="I23" i="7" s="1"/>
  <c r="B21" i="7"/>
  <c r="I21" i="7" s="1"/>
  <c r="B20" i="7"/>
  <c r="I20" i="7" s="1"/>
  <c r="B19" i="7"/>
  <c r="B18" i="7"/>
  <c r="B16" i="7"/>
  <c r="B15" i="7"/>
  <c r="B14" i="7"/>
  <c r="B13" i="7"/>
  <c r="B11" i="7"/>
  <c r="B10" i="7"/>
  <c r="I10" i="7" s="1"/>
  <c r="B9" i="7"/>
  <c r="B8" i="7"/>
  <c r="G3" i="7"/>
  <c r="I16" i="7" l="1"/>
  <c r="I8" i="7"/>
  <c r="I18" i="7"/>
  <c r="I9" i="7"/>
  <c r="I19" i="7"/>
  <c r="I13" i="7"/>
  <c r="I11" i="7"/>
  <c r="I14" i="7"/>
  <c r="I15" i="7"/>
  <c r="H41" i="7"/>
  <c r="H40" i="7"/>
  <c r="H39" i="7"/>
  <c r="H38" i="7"/>
  <c r="H36" i="7"/>
  <c r="H35" i="7"/>
  <c r="H34" i="7"/>
  <c r="H33" i="7"/>
  <c r="H31" i="7"/>
  <c r="H30" i="7"/>
  <c r="H29" i="7"/>
  <c r="H28" i="7"/>
  <c r="H26" i="7"/>
  <c r="H25" i="7"/>
  <c r="H24" i="7"/>
  <c r="H23" i="7"/>
  <c r="H21" i="7"/>
  <c r="H20" i="7"/>
  <c r="H19" i="7"/>
  <c r="H18" i="7"/>
  <c r="H16" i="7"/>
  <c r="H15" i="7"/>
  <c r="H14" i="7"/>
  <c r="H13" i="7"/>
  <c r="H11" i="7"/>
  <c r="H10" i="7"/>
  <c r="H9" i="7"/>
  <c r="H8" i="7"/>
  <c r="G21" i="7"/>
  <c r="G20" i="7"/>
  <c r="G19" i="7"/>
  <c r="G18" i="7"/>
  <c r="G41" i="7"/>
  <c r="G40" i="7"/>
  <c r="G39" i="7"/>
  <c r="G38" i="7"/>
  <c r="G36" i="7"/>
  <c r="G35" i="7"/>
  <c r="G34" i="7"/>
  <c r="G33" i="7"/>
  <c r="G31" i="7"/>
  <c r="G30" i="7"/>
  <c r="G29" i="7"/>
  <c r="G28" i="7"/>
  <c r="G26" i="7"/>
  <c r="G25" i="7"/>
  <c r="G24" i="7"/>
  <c r="G23" i="7"/>
  <c r="G16" i="7"/>
  <c r="G15" i="7"/>
  <c r="G14" i="7"/>
  <c r="G13" i="7"/>
  <c r="G11" i="7"/>
  <c r="G10" i="7"/>
  <c r="G9" i="7"/>
  <c r="G8" i="7"/>
  <c r="I2" i="7" l="1"/>
  <c r="H6" i="7" l="1"/>
  <c r="H5" i="7"/>
  <c r="H4" i="7"/>
  <c r="H3" i="7"/>
  <c r="G6" i="7"/>
  <c r="G5" i="7"/>
  <c r="G4" i="7"/>
  <c r="F6" i="7"/>
  <c r="F5" i="7"/>
  <c r="F4" i="7"/>
  <c r="F3" i="7"/>
  <c r="F2" i="7"/>
  <c r="J2" i="7" s="1"/>
  <c r="E6" i="7"/>
  <c r="E5" i="7"/>
  <c r="E4" i="7"/>
  <c r="E3" i="7"/>
  <c r="D4" i="7"/>
  <c r="D3" i="7"/>
  <c r="D6" i="7"/>
  <c r="D5" i="7"/>
  <c r="D3" i="8"/>
  <c r="D2" i="8"/>
  <c r="C6" i="7"/>
  <c r="C5" i="7"/>
  <c r="C4" i="7"/>
  <c r="C3" i="7"/>
  <c r="B6" i="7"/>
  <c r="B5" i="7"/>
  <c r="B4" i="7"/>
  <c r="B3" i="7"/>
  <c r="I3" i="7" s="1"/>
  <c r="D176" i="6"/>
  <c r="H2" i="7" s="1"/>
  <c r="D182" i="6"/>
  <c r="D181" i="6"/>
  <c r="H37" i="7" s="1"/>
  <c r="D180" i="6"/>
  <c r="H32" i="7" s="1"/>
  <c r="D179" i="6"/>
  <c r="D178" i="6"/>
  <c r="H27" i="7" s="1"/>
  <c r="D175" i="6"/>
  <c r="D174" i="6"/>
  <c r="H22" i="7" s="1"/>
  <c r="D173" i="6"/>
  <c r="H17" i="7" s="1"/>
  <c r="D172" i="6"/>
  <c r="H12" i="7" s="1"/>
  <c r="D171" i="6"/>
  <c r="H7" i="7" s="1"/>
  <c r="E31" i="3"/>
  <c r="E34" i="3" s="1"/>
  <c r="C33" i="3"/>
  <c r="C32" i="3"/>
  <c r="C31" i="3"/>
  <c r="E32" i="3" l="1"/>
  <c r="E33" i="3"/>
  <c r="J6" i="7"/>
  <c r="I4" i="7"/>
  <c r="I5" i="7"/>
  <c r="I6" i="7"/>
  <c r="J4" i="7"/>
  <c r="J3" i="7"/>
  <c r="J5" i="7"/>
  <c r="C60" i="4"/>
  <c r="C359" i="3"/>
  <c r="C362" i="3" s="1"/>
  <c r="C347" i="3"/>
  <c r="C346" i="3"/>
  <c r="C350" i="3" s="1"/>
  <c r="C342" i="3"/>
  <c r="C341" i="3"/>
  <c r="C344" i="3" s="1"/>
  <c r="C321" i="3"/>
  <c r="C316" i="3"/>
  <c r="C317" i="3" s="1"/>
  <c r="C315" i="3"/>
  <c r="C348" i="3" l="1"/>
  <c r="C349" i="3"/>
  <c r="C343" i="3"/>
  <c r="C361" i="3"/>
  <c r="C375" i="3"/>
  <c r="C377" i="3" s="1"/>
  <c r="C360" i="3"/>
  <c r="C369" i="3" s="1"/>
  <c r="C355" i="3"/>
  <c r="C354" i="3"/>
  <c r="C345" i="3"/>
  <c r="C353" i="3"/>
  <c r="C352" i="3"/>
  <c r="C320" i="3"/>
  <c r="C319" i="3"/>
  <c r="C363" i="3" l="1"/>
  <c r="C364" i="3"/>
  <c r="C365" i="3"/>
  <c r="C366" i="3"/>
  <c r="C368" i="3"/>
  <c r="C201" i="3" l="1"/>
  <c r="C281" i="3"/>
  <c r="C283" i="3"/>
  <c r="C280" i="3"/>
  <c r="C279" i="3"/>
  <c r="C191" i="3" l="1"/>
  <c r="C184" i="3"/>
  <c r="C183" i="3"/>
  <c r="S74" i="5"/>
  <c r="S70" i="5"/>
  <c r="S78" i="5" s="1"/>
  <c r="K58" i="5"/>
  <c r="K62" i="5" s="1"/>
  <c r="I12" i="5"/>
  <c r="I17" i="5" s="1"/>
  <c r="H6" i="5"/>
  <c r="C41" i="3"/>
  <c r="C166" i="4"/>
  <c r="C165" i="4"/>
  <c r="C164" i="4"/>
  <c r="T82" i="5" l="1"/>
  <c r="T86" i="5" s="1"/>
  <c r="T91" i="5"/>
  <c r="C168" i="4"/>
  <c r="C177" i="4" s="1"/>
  <c r="C182" i="4" s="1"/>
  <c r="C183" i="4"/>
  <c r="C189" i="4" s="1"/>
  <c r="C191" i="4" s="1"/>
  <c r="C179" i="4" l="1"/>
  <c r="C178" i="4"/>
  <c r="D131" i="4"/>
  <c r="D130" i="4"/>
  <c r="D129" i="4"/>
  <c r="D128" i="4"/>
  <c r="D127" i="4"/>
  <c r="D125" i="4"/>
  <c r="D124" i="4"/>
  <c r="D123" i="4"/>
  <c r="D122" i="4"/>
  <c r="D121" i="4"/>
  <c r="D120" i="4"/>
  <c r="C109" i="4"/>
  <c r="C108" i="4"/>
  <c r="C107" i="4"/>
  <c r="C106" i="4"/>
  <c r="C76" i="4"/>
  <c r="C75" i="4"/>
  <c r="C77" i="4"/>
  <c r="C74" i="4"/>
  <c r="C82" i="4" s="1"/>
  <c r="C86" i="4" s="1"/>
  <c r="C64" i="4"/>
  <c r="C92" i="4" s="1"/>
  <c r="C94" i="4" s="1"/>
  <c r="H64" i="4"/>
  <c r="H63" i="4"/>
  <c r="H62" i="4"/>
  <c r="C72" i="4"/>
  <c r="C61" i="4"/>
  <c r="C63" i="4"/>
  <c r="G29" i="4"/>
  <c r="C48" i="4"/>
  <c r="C51" i="4" s="1"/>
  <c r="C47" i="4"/>
  <c r="C46" i="4"/>
  <c r="C98" i="4" l="1"/>
  <c r="C114" i="4"/>
  <c r="C100" i="4"/>
  <c r="C50" i="4"/>
  <c r="C85" i="4"/>
  <c r="P21" i="1"/>
  <c r="P18" i="1"/>
  <c r="O23" i="1" s="1"/>
</calcChain>
</file>

<file path=xl/sharedStrings.xml><?xml version="1.0" encoding="utf-8"?>
<sst xmlns="http://schemas.openxmlformats.org/spreadsheetml/2006/main" count="1876" uniqueCount="856">
  <si>
    <t xml:space="preserve">Circular Footprint Formula </t>
  </si>
  <si>
    <t>Parameters:</t>
  </si>
  <si>
    <t>A</t>
  </si>
  <si>
    <r>
      <t>E</t>
    </r>
    <r>
      <rPr>
        <vertAlign val="subscript"/>
        <sz val="12"/>
        <color theme="1"/>
        <rFont val="Calibri"/>
        <family val="2"/>
        <scheme val="minor"/>
      </rPr>
      <t>rec</t>
    </r>
    <r>
      <rPr>
        <sz val="12"/>
        <color theme="1"/>
        <rFont val="Calibri"/>
        <family val="2"/>
        <scheme val="minor"/>
      </rPr>
      <t>, E</t>
    </r>
    <r>
      <rPr>
        <vertAlign val="subscript"/>
        <sz val="12"/>
        <color theme="1"/>
        <rFont val="Calibri"/>
        <family val="2"/>
        <scheme val="minor"/>
      </rPr>
      <t>recEoL</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D</t>
    </r>
  </si>
  <si>
    <r>
      <t>Qs</t>
    </r>
    <r>
      <rPr>
        <sz val="8"/>
        <color theme="1"/>
        <rFont val="Aptos Narrow (Textkörper)"/>
      </rPr>
      <t>in</t>
    </r>
  </si>
  <si>
    <r>
      <t>A, R</t>
    </r>
    <r>
      <rPr>
        <vertAlign val="subscript"/>
        <sz val="11"/>
        <color theme="1"/>
        <rFont val="Calibri"/>
        <family val="2"/>
        <scheme val="minor"/>
      </rPr>
      <t>1</t>
    </r>
    <r>
      <rPr>
        <sz val="12"/>
        <color theme="1"/>
        <rFont val="Calibri"/>
        <family val="2"/>
        <scheme val="minor"/>
      </rPr>
      <t>, R</t>
    </r>
    <r>
      <rPr>
        <vertAlign val="subscript"/>
        <sz val="11"/>
        <color theme="1"/>
        <rFont val="Calibri"/>
        <family val="2"/>
        <scheme val="minor"/>
      </rPr>
      <t>2</t>
    </r>
    <r>
      <rPr>
        <sz val="12"/>
        <color theme="1"/>
        <rFont val="Calibri"/>
        <family val="2"/>
        <scheme val="minor"/>
      </rPr>
      <t>, R</t>
    </r>
    <r>
      <rPr>
        <vertAlign val="subscript"/>
        <sz val="11"/>
        <color theme="1"/>
        <rFont val="Calibri"/>
        <family val="2"/>
        <scheme val="minor"/>
      </rPr>
      <t>3</t>
    </r>
    <r>
      <rPr>
        <sz val="12"/>
        <color theme="1"/>
        <rFont val="Calibri"/>
        <family val="2"/>
        <scheme val="minor"/>
      </rPr>
      <t>, Qs</t>
    </r>
    <r>
      <rPr>
        <vertAlign val="subscript"/>
        <sz val="11"/>
        <color theme="1"/>
        <rFont val="Calibri"/>
        <family val="2"/>
        <scheme val="minor"/>
      </rPr>
      <t>in</t>
    </r>
    <r>
      <rPr>
        <sz val="12"/>
        <color theme="1"/>
        <rFont val="Calibri"/>
        <family val="2"/>
        <scheme val="minor"/>
      </rPr>
      <t>, Qs</t>
    </r>
    <r>
      <rPr>
        <vertAlign val="subscript"/>
        <sz val="11"/>
        <color theme="1"/>
        <rFont val="Calibri"/>
        <family val="2"/>
        <scheme val="minor"/>
      </rPr>
      <t>out</t>
    </r>
    <r>
      <rPr>
        <sz val="12"/>
        <color theme="1"/>
        <rFont val="Calibri"/>
        <family val="2"/>
        <scheme val="minor"/>
      </rPr>
      <t>, Q</t>
    </r>
    <r>
      <rPr>
        <vertAlign val="subscript"/>
        <sz val="11"/>
        <color theme="1"/>
        <rFont val="Calibri"/>
        <family val="2"/>
        <scheme val="minor"/>
      </rPr>
      <t>p</t>
    </r>
  </si>
  <si>
    <r>
      <t>Qs</t>
    </r>
    <r>
      <rPr>
        <sz val="8"/>
        <color theme="1"/>
        <rFont val="Aptos Narrow (Textkörper)"/>
      </rPr>
      <t>out</t>
    </r>
  </si>
  <si>
    <t>Qp</t>
  </si>
  <si>
    <r>
      <t>R</t>
    </r>
    <r>
      <rPr>
        <sz val="8"/>
        <color theme="1"/>
        <rFont val="Aptos Narrow (Textkörper)"/>
      </rPr>
      <t>1</t>
    </r>
  </si>
  <si>
    <r>
      <t>R</t>
    </r>
    <r>
      <rPr>
        <sz val="8"/>
        <color theme="1"/>
        <rFont val="Aptos Narrow (Textkörper)"/>
      </rPr>
      <t>2</t>
    </r>
  </si>
  <si>
    <r>
      <t>E</t>
    </r>
    <r>
      <rPr>
        <sz val="8"/>
        <color theme="1"/>
        <rFont val="Aptos Narrow (Textkörper)"/>
      </rPr>
      <t>rec</t>
    </r>
  </si>
  <si>
    <r>
      <t>E</t>
    </r>
    <r>
      <rPr>
        <sz val="8"/>
        <color theme="1"/>
        <rFont val="Aptos Narrow (Textkörper)"/>
      </rPr>
      <t>recEoL</t>
    </r>
  </si>
  <si>
    <r>
      <t>E</t>
    </r>
    <r>
      <rPr>
        <sz val="8"/>
        <color theme="1"/>
        <rFont val="Aptos Narrow (Textkörper)"/>
      </rPr>
      <t>v</t>
    </r>
  </si>
  <si>
    <r>
      <t>E*</t>
    </r>
    <r>
      <rPr>
        <sz val="8"/>
        <color theme="1"/>
        <rFont val="Aptos Narrow (Textkörper)"/>
      </rPr>
      <t>v</t>
    </r>
  </si>
  <si>
    <r>
      <t>E</t>
    </r>
    <r>
      <rPr>
        <sz val="8"/>
        <color theme="1"/>
        <rFont val="Aptos Narrow (Textkörper)"/>
      </rPr>
      <t>D</t>
    </r>
  </si>
  <si>
    <t>Material:</t>
  </si>
  <si>
    <r>
      <t>(1 - R</t>
    </r>
    <r>
      <rPr>
        <sz val="8"/>
        <color theme="1"/>
        <rFont val="Aptos Narrow (Textkörper)"/>
      </rPr>
      <t>1</t>
    </r>
    <r>
      <rPr>
        <sz val="11"/>
        <color theme="1"/>
        <rFont val="Calibri"/>
        <family val="2"/>
        <scheme val="minor"/>
      </rPr>
      <t>)E</t>
    </r>
    <r>
      <rPr>
        <sz val="8"/>
        <color theme="1"/>
        <rFont val="Aptos Narrow (Textkörper)"/>
      </rPr>
      <t>v</t>
    </r>
    <r>
      <rPr>
        <sz val="11"/>
        <color theme="1"/>
        <rFont val="Calibri"/>
        <family val="2"/>
        <scheme val="minor"/>
      </rPr>
      <t xml:space="preserve"> + R</t>
    </r>
    <r>
      <rPr>
        <sz val="8"/>
        <color theme="1"/>
        <rFont val="Aptos Narrow (Textkörper)"/>
      </rPr>
      <t xml:space="preserve">1 </t>
    </r>
    <r>
      <rPr>
        <sz val="11"/>
        <color theme="1"/>
        <rFont val="Calibri"/>
        <family val="2"/>
        <scheme val="minor"/>
      </rPr>
      <t>x (AE</t>
    </r>
    <r>
      <rPr>
        <sz val="8"/>
        <color theme="1"/>
        <rFont val="Aptos Narrow (Textkörper)"/>
      </rPr>
      <t>recycled</t>
    </r>
    <r>
      <rPr>
        <sz val="11"/>
        <color theme="1"/>
        <rFont val="Calibri"/>
        <family val="2"/>
        <scheme val="minor"/>
      </rPr>
      <t xml:space="preserve"> + (1 - A)E</t>
    </r>
    <r>
      <rPr>
        <sz val="8"/>
        <color theme="1"/>
        <rFont val="Aptos Narrow (Textkörper)"/>
      </rPr>
      <t>v</t>
    </r>
    <r>
      <rPr>
        <sz val="11"/>
        <color theme="1"/>
        <rFont val="Calibri"/>
        <family val="2"/>
        <scheme val="minor"/>
      </rPr>
      <t xml:space="preserve"> x Qs</t>
    </r>
    <r>
      <rPr>
        <sz val="8"/>
        <color theme="1"/>
        <rFont val="Aptos Narrow (Textkörper)"/>
      </rPr>
      <t>in</t>
    </r>
    <r>
      <rPr>
        <sz val="11"/>
        <color theme="1"/>
        <rFont val="Calibri"/>
        <family val="2"/>
        <scheme val="minor"/>
      </rPr>
      <t>/Qp) + (1 - A)R</t>
    </r>
    <r>
      <rPr>
        <sz val="8"/>
        <color theme="1"/>
        <rFont val="Aptos Narrow (Textkörper)"/>
      </rPr>
      <t>2</t>
    </r>
    <r>
      <rPr>
        <sz val="11"/>
        <color theme="1"/>
        <rFont val="Calibri"/>
        <family val="2"/>
        <scheme val="minor"/>
      </rPr>
      <t xml:space="preserve"> x (E</t>
    </r>
    <r>
      <rPr>
        <sz val="8"/>
        <color theme="1"/>
        <rFont val="Aptos Narrow (Textkörper)"/>
      </rPr>
      <t>recyclingEoL</t>
    </r>
    <r>
      <rPr>
        <sz val="11"/>
        <color theme="1"/>
        <rFont val="Calibri"/>
        <family val="2"/>
        <scheme val="minor"/>
      </rPr>
      <t xml:space="preserve"> - E*</t>
    </r>
    <r>
      <rPr>
        <sz val="8"/>
        <color theme="1"/>
        <rFont val="Aptos Narrow (Textkörper)"/>
      </rPr>
      <t>v</t>
    </r>
    <r>
      <rPr>
        <sz val="11"/>
        <color theme="1"/>
        <rFont val="Calibri"/>
        <family val="2"/>
        <scheme val="minor"/>
      </rPr>
      <t xml:space="preserve"> x Qs</t>
    </r>
    <r>
      <rPr>
        <sz val="8"/>
        <color theme="1"/>
        <rFont val="Aptos Narrow (Textkörper)"/>
      </rPr>
      <t>out</t>
    </r>
    <r>
      <rPr>
        <sz val="11"/>
        <color theme="1"/>
        <rFont val="Calibri"/>
        <family val="2"/>
        <scheme val="minor"/>
      </rPr>
      <t>/Qp)</t>
    </r>
  </si>
  <si>
    <t>Disposal:</t>
  </si>
  <si>
    <r>
      <t>(1 - R</t>
    </r>
    <r>
      <rPr>
        <sz val="8"/>
        <color theme="1"/>
        <rFont val="Aptos Narrow (Textkörper)"/>
      </rPr>
      <t>2</t>
    </r>
    <r>
      <rPr>
        <sz val="11"/>
        <color theme="1"/>
        <rFont val="Calibri"/>
        <family val="2"/>
        <scheme val="minor"/>
      </rPr>
      <t>) x E</t>
    </r>
    <r>
      <rPr>
        <sz val="8"/>
        <color theme="1"/>
        <rFont val="Aptos Narrow (Textkörper)"/>
      </rPr>
      <t>D</t>
    </r>
  </si>
  <si>
    <t>CFF:</t>
  </si>
  <si>
    <t xml:space="preserve">LCA parameters </t>
  </si>
  <si>
    <t>CFF Variables</t>
  </si>
  <si>
    <t>Reference</t>
  </si>
  <si>
    <t xml:space="preserve">https://eur-lex.europa.eu/legal-content/EN/TXT/PDF/?uri=CELEX:32021H2279 </t>
  </si>
  <si>
    <t>Determination of parameters according to PEF Guide</t>
  </si>
  <si>
    <t>Defined Range</t>
  </si>
  <si>
    <t>A=0,2:</t>
  </si>
  <si>
    <t>Low offer of recyclable materials and high demand: the forumula focus on recyclability at End-of-Life</t>
  </si>
  <si>
    <t>A=0,8:</t>
  </si>
  <si>
    <t>High offer of recyclable materials and low demand: the formula focus on recycled content</t>
  </si>
  <si>
    <t>A=0,5:</t>
  </si>
  <si>
    <t>Equilibrium between offer and demand: the formula focuses both on recyclability at EoL and recycled content</t>
  </si>
  <si>
    <t>Steps to follow</t>
  </si>
  <si>
    <t>Step 1</t>
  </si>
  <si>
    <t>Step 2</t>
  </si>
  <si>
    <t>Step 3</t>
  </si>
  <si>
    <t>Annex C</t>
  </si>
  <si>
    <t>application specific A value</t>
  </si>
  <si>
    <t>material specific A value</t>
  </si>
  <si>
    <t>A value shall be set equal to 0,5</t>
  </si>
  <si>
    <t xml:space="preserve">A-Factor: </t>
  </si>
  <si>
    <t>Allocation factor of burdens and credits between supplier and user of recycled materials</t>
  </si>
  <si>
    <t>0,2 ≤ A ≤ 0,8</t>
  </si>
  <si>
    <t xml:space="preserve">R-Factor - R1: </t>
  </si>
  <si>
    <t>The proportion of material in the input to the production that has been recycled from a previous system</t>
  </si>
  <si>
    <t>material-specific values based on supply market statistics are not accepted</t>
  </si>
  <si>
    <t>company-specific values in relation with DNM</t>
  </si>
  <si>
    <t>R1 shall be set equal to 0%</t>
  </si>
  <si>
    <t xml:space="preserve">R-Factor - R2: </t>
  </si>
  <si>
    <t>The proportion of the material in the product that will be recycled (or reused) in a subsequent system. R2 shall therefore take into account the inefficiencies in the collection and recycling (or reuse) processes. R2 shall be measured at the output of the recycling plant.</t>
  </si>
  <si>
    <t>Step 4</t>
  </si>
  <si>
    <t>Step 5</t>
  </si>
  <si>
    <t>Company-specific values</t>
  </si>
  <si>
    <t>application-specific R2 value for specific country</t>
  </si>
  <si>
    <t>application-specific value with European average</t>
  </si>
  <si>
    <t>R2 values of material (e.g. materials average)</t>
  </si>
  <si>
    <t>R2 shall be set equal to 0% or new statistics may be generated in order to assign value in specific situation</t>
  </si>
  <si>
    <t xml:space="preserve">Q-Factor: </t>
  </si>
  <si>
    <t>Q: The quality factors are there to capture downcycling of a material compared to the original primary material and, in some cases, may capture the effect of multiple recycling loops.
Qsin: Quality of the ingoing secondary material, i.e. the quality of the recycled material at the point of substitution
Qsout: Quality of the outgoing secondary material, i.e. the quality of the recyclable material at the point of substitution
Qp: Quality of the primary material, i.e. quality of the virgin material
Qsin/Qp: Ratio associated to the associated to the recycled content
Qsout/Qp: Ratio associated to recyclability at EoL</t>
  </si>
  <si>
    <t>if E*v=Ev: two quality ratios are needed: Qsin/Qp associated to the recycled content, and Qsout/Qp associated to recyclability at EoL</t>
  </si>
  <si>
    <t>if E*v≠Ev: one quality ratio is needed:  Qsin/Qp associated to the recycled content</t>
  </si>
  <si>
    <t>application or material specific based on economic aspects: i.e. price ratio of secondary compared to primary materials at the point of substitution. If the price of secondary materials is higher than that of primary ones, the quality ratios shall be set equal to 1</t>
  </si>
  <si>
    <t>application or material specific based on pysical aspects when economic are less relevant</t>
  </si>
  <si>
    <t xml:space="preserve">Only for packaging material: Annex C: Default Value </t>
  </si>
  <si>
    <t>Case Study 1: Automotive Cross Car Beam</t>
  </si>
  <si>
    <t>Composite MM4R cross car beam (CCB)</t>
  </si>
  <si>
    <t>Material</t>
  </si>
  <si>
    <t>Quantity</t>
  </si>
  <si>
    <t>Aluminum (low cuttings – 20%)</t>
  </si>
  <si>
    <t>3,378 kg</t>
  </si>
  <si>
    <t>Aluminum (high cuttings – 50%)</t>
  </si>
  <si>
    <t>1,772 kg</t>
  </si>
  <si>
    <t>Steel (high cuttings – 50%)</t>
  </si>
  <si>
    <t>0,248 kg</t>
  </si>
  <si>
    <t>Organo Sheet (GF/ PP)</t>
  </si>
  <si>
    <t>Hollow Profile (GF/ PP)</t>
  </si>
  <si>
    <t>Moulding Granuate (GF/ PP)</t>
  </si>
  <si>
    <t>LCA Values:</t>
  </si>
  <si>
    <r>
      <t>E</t>
    </r>
    <r>
      <rPr>
        <vertAlign val="subscript"/>
        <sz val="11"/>
        <color theme="1"/>
        <rFont val="Calibri"/>
        <family val="2"/>
        <scheme val="minor"/>
      </rPr>
      <t>rec</t>
    </r>
    <r>
      <rPr>
        <sz val="11"/>
        <color theme="1"/>
        <rFont val="Calibri"/>
        <family val="2"/>
        <scheme val="minor"/>
      </rPr>
      <t>; E</t>
    </r>
    <r>
      <rPr>
        <vertAlign val="subscript"/>
        <sz val="11"/>
        <color theme="1"/>
        <rFont val="Calibri"/>
        <family val="2"/>
        <scheme val="minor"/>
      </rPr>
      <t>recEoL</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D</t>
    </r>
  </si>
  <si>
    <t>Impact Value</t>
  </si>
  <si>
    <t xml:space="preserve">Assumption/ Background </t>
  </si>
  <si>
    <t>ErecEoL</t>
  </si>
  <si>
    <r>
      <t>E</t>
    </r>
    <r>
      <rPr>
        <vertAlign val="subscript"/>
        <sz val="11"/>
        <color theme="1"/>
        <rFont val="Calibri"/>
        <family val="2"/>
        <scheme val="minor"/>
      </rPr>
      <t xml:space="preserve">rec </t>
    </r>
  </si>
  <si>
    <r>
      <rPr>
        <sz val="7"/>
        <color theme="1"/>
        <rFont val="Times New Roman"/>
        <family val="1"/>
      </rPr>
      <t xml:space="preserve"> </t>
    </r>
    <r>
      <rPr>
        <sz val="11"/>
        <color theme="1"/>
        <rFont val="Calibri"/>
        <family val="2"/>
        <scheme val="minor"/>
      </rPr>
      <t>E</t>
    </r>
    <r>
      <rPr>
        <vertAlign val="subscript"/>
        <sz val="11"/>
        <color theme="1"/>
        <rFont val="Calibri"/>
        <family val="2"/>
        <scheme val="minor"/>
      </rPr>
      <t xml:space="preserve">recEoL </t>
    </r>
    <r>
      <rPr>
        <sz val="11"/>
        <color theme="1"/>
        <rFont val="Calibri"/>
        <family val="2"/>
        <scheme val="minor"/>
      </rPr>
      <t>&amp;</t>
    </r>
    <r>
      <rPr>
        <vertAlign val="subscript"/>
        <sz val="11"/>
        <color theme="1"/>
        <rFont val="Calibri"/>
        <family val="2"/>
        <scheme val="minor"/>
      </rPr>
      <t xml:space="preserve"> </t>
    </r>
    <r>
      <rPr>
        <sz val="11"/>
        <color theme="1"/>
        <rFont val="Calibri"/>
        <family val="2"/>
        <scheme val="minor"/>
      </rPr>
      <t>E</t>
    </r>
    <r>
      <rPr>
        <vertAlign val="subscript"/>
        <sz val="11"/>
        <color theme="1"/>
        <rFont val="Calibri"/>
        <family val="2"/>
        <scheme val="minor"/>
      </rPr>
      <t>D</t>
    </r>
    <r>
      <rPr>
        <sz val="8"/>
        <color theme="1"/>
        <rFont val="Calibri"/>
        <family val="2"/>
        <scheme val="minor"/>
      </rPr>
      <t> </t>
    </r>
  </si>
  <si>
    <t>•	95% of Aluminium and steel gets recycled at the EoL and 5% is landfilled/ disposed
•	Aluminium recycling processes involve several steps: 
1.	Collection and Sorting from other materials
2.	Shredding and Crushing:
Aluminium scrap is shredded into small pieces to improve energy efficiency during melting and enhance the quality of the final product.
3.	Decoating
4.	Melting and Refining:
The shredded pieces are melted in furnaces at approximately 750 °C. During the melting process, remaining impurities are removed, and alloying elements are added if necessary to enhance the metal's properties.
5.	Casting
•	Furnace Types Used in the Melting Process:
1.	Rotary Furnaces:
These furnaces are particularly suitable for scrap with high levels of impurities. The material is melted under a layer of salt, which prevents oxidation and binds impurities.
2.	Induction Furnaces:
Often used for melting clean, sorted aluminum scrap, induction furnaces offer precise temperature control and are energy-efficient. The choice of furnace depends on the characteristics of the aluminum scrap being recycled. For heavily contaminated scrap, rotary furnaces are often the most effective solution, while clean scrap is better suited for induction furnaces. --&gt; The rotary furnace is the better choice for recycling the CCB made of magnesium-manganese-aluminum alloy, especially if the component originates from automotive use and contains impurities or coatings.</t>
  </si>
  <si>
    <t>Ev = E*V</t>
  </si>
  <si>
    <t>Considering a case study of using the CFF to calculate the impacts of an automotive component at the EoL in an LCA. The component consists of aluminum and steel, and is recycled at the EoL. The Ev is the impact of the virgin raw material production, so the impact of aluminum sheet and steel sheet production. Currently, the component production is only using primary aluminum. From a technical point of view 70% of the primary aluminum could be substituted with secondary aluminum due to mechanical properties of the component and secondary aluminum. Considering the CFF application, in this case Ev = E*v as aluminum and steel are recycled, obtaining secondary aluminum and steel which is used to substitute primary aluminum/ steel. It just cannot substitute 100% of the primary aluminum/steel due to quality downgrading. Yet, this is considered through the parameter Q.</t>
  </si>
  <si>
    <t>Reference/ Assumption</t>
  </si>
  <si>
    <t>Blue Shark 16.13 https://www.zatoshredder.de/metall-hammermuhlen/ 
=900*3,6/((4+60)/2)/1000</t>
  </si>
  <si>
    <t>MF1716 https://www.franzoisrl.com/de/metall-shredder-mrf1716/index.html
=1110*3,6/((18+35)/2)/1000</t>
  </si>
  <si>
    <t>Average</t>
  </si>
  <si>
    <t>LCI:  ErecEoL &amp; ED </t>
  </si>
  <si>
    <t>Literature Research Energy Demand Rotary Furnance Melting Process</t>
  </si>
  <si>
    <t>Energy Demand Rotary Furnace [MJ/kg]</t>
  </si>
  <si>
    <t>Bloemen 2017 (gie_05_2017.pdf)
Der Energiebedarf variiert zwischen 400 und 800 kWh/t Legierung“. --&gt; 400*3,6/1000= 1,44 MJ/kg</t>
  </si>
  <si>
    <t>Bloemen 2017 (gie_05_2017.pdf)
800*3,6/1000= 2,88 MJ/kg</t>
  </si>
  <si>
    <t>Literature Research Energy Demand Alu-Sheet &amp; St-Sheet Shredding</t>
  </si>
  <si>
    <t>Energy Demand Shredding Al-/St-Sheet Scarp [MJ/kg]</t>
  </si>
  <si>
    <t>Literature Research Energy Demand St-Sheet Recycling</t>
  </si>
  <si>
    <t>Energy Demand St-Sheet Recycling [MJ/kg]</t>
  </si>
  <si>
    <t>Tapper 2020 https://www.sciencedirect.com/science/article/pii/S1359836819325405?via%3Dihub</t>
  </si>
  <si>
    <t>Input</t>
  </si>
  <si>
    <t>GaBi Process</t>
  </si>
  <si>
    <t>Al-sheet (low cuttings – 20%) for Recycling</t>
  </si>
  <si>
    <t>n/a</t>
  </si>
  <si>
    <t>Al-sheet (low cuttings – 20%) for Landfilling</t>
  </si>
  <si>
    <t>EU: Ferro metals on landfill (best fitting GaBi Process from the available ones)</t>
  </si>
  <si>
    <t>Low cuttings Aluminum for recycling (considering 95% efficiency) (Primary Data MM4R Project)</t>
  </si>
  <si>
    <t>Low cuttings Aluminum for landfill (considering 95% efficiency) (Secondary Data from GaBi )</t>
  </si>
  <si>
    <t>Shredding and Melting Literature Data (3,851*(0,126 + 2,16))</t>
  </si>
  <si>
    <t>DE: Electricity Grid Mix</t>
  </si>
  <si>
    <t>Sodium Chloride</t>
  </si>
  <si>
    <t>Electricity for low cuttings Al-Sheet Recycling</t>
  </si>
  <si>
    <t>DE: Sodium chloride (rock salt) Sphera [Inorganic intermediate products]</t>
  </si>
  <si>
    <t>Water</t>
  </si>
  <si>
    <t>0,0102 m3/kg (Literature value from Förtsch 2023)</t>
  </si>
  <si>
    <t>EU-28: Water (deionised) Sphera</t>
  </si>
  <si>
    <t>Al-sheet (high cuttings – 50%) for Recycling</t>
  </si>
  <si>
    <t>High cuttings Aluminum for recycling (considering 95% efficiency) (Primary Data MM4R Project)</t>
  </si>
  <si>
    <t>Al-sheet (high cuttings – 50%) for Landfilling</t>
  </si>
  <si>
    <t>High cuttings Aluminum for landfill (considering 95% efficiency) (Secondary Data from GaBi)</t>
  </si>
  <si>
    <t>Electricity for high cuttings Al-Sheet Recycling</t>
  </si>
  <si>
    <t xml:space="preserve">0,038 kg/ kg Alu (Capuzzi 2017 + Assumption 5% contamination material) 0,05/1,3= 0,038 kg Salz/kg Alu (https://www.research.unipd.it/handle/11577/3422890) </t>
  </si>
  <si>
    <t>Output</t>
  </si>
  <si>
    <t>Recycled Al-sheet (low cuttings – 20%)</t>
  </si>
  <si>
    <t>95 % recycled &amp; 5% landfilled</t>
  </si>
  <si>
    <t>Landfilled Al-sheet (low cuttings – 20%)</t>
  </si>
  <si>
    <t>Recycled Al-sheet (high cuttings – 50%)</t>
  </si>
  <si>
    <t>Landfilled Al-sheet (high cuttings – 50%)</t>
  </si>
  <si>
    <t>St-sheet (high cuttings – 50%) for Recycling</t>
  </si>
  <si>
    <t>St-sheet (high cuttings – 50%) for Landfilling</t>
  </si>
  <si>
    <t>Electricity for high cuttings St-Sheet Recycling</t>
  </si>
  <si>
    <t>High cuttings St for landfill (considering 95% efficiency) (Secondary Data from GaBi)</t>
  </si>
  <si>
    <t>High cuttings St for recycling (considering 95% efficiency) (Primary Data MM4R Project)</t>
  </si>
  <si>
    <t>Lime</t>
  </si>
  <si>
    <t>0,03668 kg/kg (Yang et al. ,2023 https://www.sciencedirect.com/science/article/pii/S2214993722001786?casa_token=NFKJ-BzazrQAAAAA:QehUmUfF-5yBYtdH59NDsJvZNbJayjahxHwaYPmfFTnHhv5d5o6LVxWURqh3XrtB6h2e6wos 50% hot metal ratio in the furnance)</t>
  </si>
  <si>
    <t>DE: Lime (CaO; finelime) (EN15804 A1-A3) Sphera</t>
  </si>
  <si>
    <t>Coal</t>
  </si>
  <si>
    <t>0,002 kg/ kg (Literature value from Friedl 1999)</t>
  </si>
  <si>
    <t>DE: Hard coal mix Sphera</t>
  </si>
  <si>
    <t>Carbon</t>
  </si>
  <si>
    <t>0,00084 kg/kg (Yang et al., 2023 https://www.sciencedirect.com/science/article/pii/S2214993722001786?casa_token=NFKJ-BzazrQAAAAA:QehUmUfF-5yBYtdH59NDsJvZNbJayjahxHwaYPmfFTnHhv5d5o6LVxWURqh3XrtB6h2e6wos 50% hot metal ratio in the furnance)</t>
  </si>
  <si>
    <t>Carbon black (furnace black; general purpose) (economic allocation)</t>
  </si>
  <si>
    <t>Oxygen</t>
  </si>
  <si>
    <t>0,04463 kg/kg (Yang et al., 2023 https://www.sciencedirect.com/science/article/pii/S2214993722001786?casa_token=NFKJ-BzazrQAAAAA:QehUmUfF-5yBYtdH59NDsJvZNbJayjahxHwaYPmfFTnHhv5d5o6LVxWURqh3XrtB6h2e6wos 50% hot metal ratio in the furnance))</t>
  </si>
  <si>
    <t xml:space="preserve">DE: Oxygen (gaseous) Sphera </t>
  </si>
  <si>
    <t>0,06280 kg/kg (Yang et al., 2023) https://www.sciencedirect.com/science/article/pii/S2214993722001786?casa_token=NFKJ-BzazrQAAAAA:QehUmUfF-5yBYtdH59NDsJvZNbJayjahxHwaYPmfFTnHhv5d5o6LVxWURqh3XrtB6h2e6wos</t>
  </si>
  <si>
    <t>Recycled St-sheet (high cuttings – 50%)</t>
  </si>
  <si>
    <t>Landfilled St-sheet (high cuttings – 50%)</t>
  </si>
  <si>
    <t>4,0536 kg</t>
  </si>
  <si>
    <t>DE: Aluminium sheet mix Sphera</t>
  </si>
  <si>
    <t>2,658 kg</t>
  </si>
  <si>
    <t>Production Al-Sheet (low cuttings – 20%)</t>
  </si>
  <si>
    <t>Production Al-Sheet (high cuttings – 50%)</t>
  </si>
  <si>
    <t>Primary mass quantity data from MM4R Project (secondary GaBi process)</t>
  </si>
  <si>
    <t>Al-sheet (high cuttings – 50%)</t>
  </si>
  <si>
    <t>Al-sheet (low cuttings – 20%)</t>
  </si>
  <si>
    <t>Production St-Sheet (high cuttings – 50%)</t>
  </si>
  <si>
    <t>St-sheet (high cuttings – 50%)</t>
  </si>
  <si>
    <t xml:space="preserve">DE: Steel cold rolled coil &lt;1,5mm Sphera </t>
  </si>
  <si>
    <t>0,372 kg</t>
  </si>
  <si>
    <t>LCI:  Ev = E*V</t>
  </si>
  <si>
    <t>Impact Category</t>
  </si>
  <si>
    <t>CML2001 - Aug. 2016, Abiotic Depletion (ADP elements) [kg Sb eq.]</t>
  </si>
  <si>
    <t>CML2001 - Aug. 2016, Abiotic Depletion (ADP fossil) [MJ]</t>
  </si>
  <si>
    <t>CML2001 - Aug. 2016, Acidification Potential (AP) [kg SO2 eq.]</t>
  </si>
  <si>
    <t>CML2001 - Aug. 2016, Eutrophication Potential (EP) [kg Phosphate eq.]</t>
  </si>
  <si>
    <t>CML2001 - Aug. 2016, Freshwater Aquatic Ecotoxicity Pot. (FAETP inf.) [kg DCB eq.]</t>
  </si>
  <si>
    <t>CML2001 - Aug. 2016, Global Warming Potential (GWP 100 years) [kg CO2 eq.]</t>
  </si>
  <si>
    <t>CML2001 - Aug. 2016, Global Warming Potential (GWP 100 years), excl biogenic carbon [kg CO2 eq.]</t>
  </si>
  <si>
    <t>CML2001 - Aug. 2016, Human Toxicity Potential (HTP inf.) [kg DCB eq.]</t>
  </si>
  <si>
    <t>CML2001 - Aug. 2016, Marine Aquatic Ecotoxicity Pot. (MAETP inf.) [kg DCB eq.]</t>
  </si>
  <si>
    <t>CML2001 - Aug. 2016, Ozone Layer Depletion Potential (ODP, steady state) [kg R11 eq.]</t>
  </si>
  <si>
    <t>CML2001 - Aug. 2016, Photochem. Ozone Creation Potential (POCP) [kg Ethene eq.]</t>
  </si>
  <si>
    <t>CML2001 - Aug. 2016, Terrestric Ecotoxicity Potential (TETP inf.) [kg DCB eq.]</t>
  </si>
  <si>
    <t>ED</t>
  </si>
  <si>
    <t>LCIA:  ErecEoL &amp; ED &amp; Ev=E*V</t>
  </si>
  <si>
    <t>Ev=E*V</t>
  </si>
  <si>
    <t>CFF Variables:</t>
  </si>
  <si>
    <t>Variable</t>
  </si>
  <si>
    <t>R1</t>
  </si>
  <si>
    <t>R2</t>
  </si>
  <si>
    <t>QP</t>
  </si>
  <si>
    <t>Qsin</t>
  </si>
  <si>
    <t>Qsout</t>
  </si>
  <si>
    <t>Aluminum/ Steel Reference CCB</t>
  </si>
  <si>
    <t>application-specific R1 value</t>
  </si>
  <si>
    <t>A; R1; R2; Qsin; Qout; Qp</t>
  </si>
  <si>
    <t>Al-Sheet Component Part</t>
  </si>
  <si>
    <t>Decision Range</t>
  </si>
  <si>
    <t xml:space="preserve">Reference/ Justification </t>
  </si>
  <si>
    <t>Check in Annex C the availability of an application specific A value: A value of 0,2 was identified</t>
  </si>
  <si>
    <t>Company specific value (primary project data) &amp; application specific value from Annex C</t>
  </si>
  <si>
    <t>Check in Annex C the availability of application-specific value: Yes, a value of 0,9 was identified</t>
  </si>
  <si>
    <t>Check in Annex C the availability of an application specific A value: No, value doesn't exists in Annex C</t>
  </si>
  <si>
    <t>Check in Annex C the availability of a material specific A value: A value of 0,2 was identified</t>
  </si>
  <si>
    <t>Literature</t>
  </si>
  <si>
    <t>Material Specific Value from Annex C, market research literature</t>
  </si>
  <si>
    <t>St-Sheet Component Part</t>
  </si>
  <si>
    <t>Check in Annex C the availability of an application specific R1 value: R1 value of 0 was identified</t>
  </si>
  <si>
    <t>Check in Annex C the availability of an application specific R1 value: No, value doesn't exist in Annex C</t>
  </si>
  <si>
    <t>Company specific value (primary project data)</t>
  </si>
  <si>
    <t>Check in Annex C the availability of application-specific value: No, value doesn't exist</t>
  </si>
  <si>
    <t>Prescribed value from Annex C, market research literature</t>
  </si>
  <si>
    <t>Case Study 2: CRC industrial floor</t>
  </si>
  <si>
    <t>Composite Industrial floor (1m3)</t>
  </si>
  <si>
    <t>Reference Industrial Floor (1m3)</t>
  </si>
  <si>
    <t>Crushed concrete 2/4 (Aggregates consist of 80% recycled concrete (2/4) and 20% gravel)</t>
  </si>
  <si>
    <t>Aggregates (gravel) (Aggregates consist of 80% recycled concrete (2/4) and 20% gravel)</t>
  </si>
  <si>
    <t xml:space="preserve">CEM III A, 42.5 R </t>
  </si>
  <si>
    <t>Fly ash</t>
  </si>
  <si>
    <t>Tap water</t>
  </si>
  <si>
    <t>Superplasticizer (PCE basis [3.5 M-% of cement] )</t>
  </si>
  <si>
    <t>Composite Industrial Floor</t>
  </si>
  <si>
    <t>Shredding and Melting Literature Data (1,6834*(0,126 + 2,16))</t>
  </si>
  <si>
    <t>St-Sheet: Mass (raw material) = 0,372 kg (high cuttings); Mass (recycled) = 0,2356 kg (high cuttings); Mass (landfilled) =  0,0124 kg (high cuttings)</t>
  </si>
  <si>
    <t>Al-Sheet: Mass (raw material) = 4,0536 kg (low cuttings) &amp; 2,658 kg (high cuttings); Mass (recycled) = 3,2091 kg (low cuttings) &amp; 1,6834 kg (high cuttings); Mass (landfilled) = 0,169 kg (low cuttings) &amp; 0,0886 kg (high cuttings)</t>
  </si>
  <si>
    <t>3,2091 kg</t>
  </si>
  <si>
    <t>0,169 kg</t>
  </si>
  <si>
    <t>7,336 MJ</t>
  </si>
  <si>
    <t xml:space="preserve">0,122 kg </t>
  </si>
  <si>
    <t>0,0327 m3= 32,7 kg</t>
  </si>
  <si>
    <t>1,6834 kg</t>
  </si>
  <si>
    <t>0,0886 kg</t>
  </si>
  <si>
    <t>3,848 kg</t>
  </si>
  <si>
    <t>0,064 kg</t>
  </si>
  <si>
    <t>0,0172 m3 = 17,2 kg</t>
  </si>
  <si>
    <t xml:space="preserve"> 0,0886 kg</t>
  </si>
  <si>
    <t>0,2356 kg</t>
  </si>
  <si>
    <t>0,0124 kg</t>
  </si>
  <si>
    <t>3,7286 MJ</t>
  </si>
  <si>
    <t>0,0086 kg</t>
  </si>
  <si>
    <t>0,000198 kg</t>
  </si>
  <si>
    <t>0,0105 kg</t>
  </si>
  <si>
    <t>0,0148 kg</t>
  </si>
  <si>
    <t>0,000471 kg</t>
  </si>
  <si>
    <t>Shredding and Melting Literature Data (0,2356*(0,126 + 15,7))</t>
  </si>
  <si>
    <t>CEM I 42,5 R</t>
  </si>
  <si>
    <t>Aggregate (gravel)</t>
  </si>
  <si>
    <t>LCI:  Erec (Impact of the recycling process of the recycled (reused) material)</t>
  </si>
  <si>
    <t>Recycled Crushed Concrete (Input)</t>
  </si>
  <si>
    <t>Recycled Aggregate Concrete (Input)</t>
  </si>
  <si>
    <t>Recycled Carbon Fibers</t>
  </si>
  <si>
    <t>Luthin 2023</t>
  </si>
  <si>
    <t>Quantity [kg]</t>
  </si>
  <si>
    <t>Recycled CRC Scarp</t>
  </si>
  <si>
    <t>Equal to 100% of the env. impact determined for CRC processing in Luthin 2023</t>
  </si>
  <si>
    <t>Equal to 100% of the env. impact determined for carbon fiber porolysis and carbon fiber cutting in Luthin 2023</t>
  </si>
  <si>
    <t>LCI:  ErecEoL (Impact of the recycling process at the EoL)</t>
  </si>
  <si>
    <t>Crushing</t>
  </si>
  <si>
    <t>Total mass of composite industrial floor</t>
  </si>
  <si>
    <t>Waste</t>
  </si>
  <si>
    <t xml:space="preserve">Fuel Demand Crushing </t>
  </si>
  <si>
    <t>Quantity [kg] [MJ]</t>
  </si>
  <si>
    <t>DE: Diesel mix at filling station</t>
  </si>
  <si>
    <t>DE: Electricity grid mix</t>
  </si>
  <si>
    <t>Electricity Demand Crushing</t>
  </si>
  <si>
    <t>Electrcity Demand Pyrolysis</t>
  </si>
  <si>
    <t>Natural Gas Demand Pyrolysis</t>
  </si>
  <si>
    <t xml:space="preserve">DE: Natural gas mix </t>
  </si>
  <si>
    <t>recycled crushed concrete</t>
  </si>
  <si>
    <t>recycled carbon fibers</t>
  </si>
  <si>
    <t>particulates</t>
  </si>
  <si>
    <t>CRC Scarp</t>
  </si>
  <si>
    <t>as in Luthin 2023: 2098,38 kg crushed concrete and 21,48 crushed carbon fibers</t>
  </si>
  <si>
    <t>Crushed Carbon Fibers</t>
  </si>
  <si>
    <t>Salt Water</t>
  </si>
  <si>
    <t xml:space="preserve">DE: Tap water from groundwater; DE: Sodium chloride (rock salt) </t>
  </si>
  <si>
    <t>Luthin 2023 (Salinity 5%)</t>
  </si>
  <si>
    <t>Following the recycling rate process from Luthin 2023</t>
  </si>
  <si>
    <t>Wast for Landfill from Luthin 2023</t>
  </si>
  <si>
    <t>CO2</t>
  </si>
  <si>
    <t>H2O (gaseous)</t>
  </si>
  <si>
    <t>Carbon dioxide [Inorganic emissions to air]</t>
  </si>
  <si>
    <t>Cutting of Carbon Fibers</t>
  </si>
  <si>
    <t>Electrcity Demand Cutting</t>
  </si>
  <si>
    <t xml:space="preserve">Recycled Carbon Fibers of specific length </t>
  </si>
  <si>
    <t>LCI:  ED (Impact of the disposal process at the EoL)</t>
  </si>
  <si>
    <t>CRC Crushing Waste</t>
  </si>
  <si>
    <t>Landfilled Waste</t>
  </si>
  <si>
    <t>Carbon Fibers Waste</t>
  </si>
  <si>
    <t>Assumption: Considering the CFF application, in this case Ev = E*v as concrete and carbon fiber are recycled, obtaining secondary concrete and carbon fiber which is used to substitute primary concrete/ carbo fiber. It just cannot substitute 100% of the primary concrete/carbon fiber due to quality downgrading. Yet, this is considered through the parameter Q.</t>
  </si>
  <si>
    <t>LCI:  Ev=E*V (Impact of primary raw material)</t>
  </si>
  <si>
    <t xml:space="preserve">Crushed Concrete </t>
  </si>
  <si>
    <t>Aggregates (gravel)</t>
  </si>
  <si>
    <t xml:space="preserve">Carbon fibers of specific length </t>
  </si>
  <si>
    <t>Tap Water</t>
  </si>
  <si>
    <t>DE: Tap water from groundwater</t>
  </si>
  <si>
    <t>Erec</t>
  </si>
  <si>
    <t>Check in Annex C the availability of a material specific A value: No, value doesn't exists in Annex C</t>
  </si>
  <si>
    <t>Application Specific Value from Annex C &amp; literature/ market analysis</t>
  </si>
  <si>
    <t>Hermansson, F (2022)</t>
  </si>
  <si>
    <t>(Carbon360), (C3-Carbonbeton), (Frauenhofer)</t>
  </si>
  <si>
    <t>0,5 - 0,7</t>
  </si>
  <si>
    <t>Yang, Y (2024)</t>
  </si>
  <si>
    <t xml:space="preserve">Company specific value (primary project data) </t>
  </si>
  <si>
    <t>Check in Annex C the availability of material-specific value: No, value doesn't exist</t>
  </si>
  <si>
    <t xml:space="preserve"> E*v=Ev: two quality ratios are needed: Qsin/Qp associated to the recycled content, and Qsout/Qp associated to recyclability at EoL</t>
  </si>
  <si>
    <t>Check values given in Annex C for application or material specific based on economic aspects: No vlaue exists</t>
  </si>
  <si>
    <t>Check values given in Annex C for application or material specific based on physical aspects: No vlaue exists</t>
  </si>
  <si>
    <t>Concrete Industrial Floor</t>
  </si>
  <si>
    <t>Aggregate (gravel) (Aggregates consist of 80% recycled concrete (2/4) and 20% gravel)</t>
  </si>
  <si>
    <t>Concrete Industrial floor (1m3)</t>
  </si>
  <si>
    <t>Garcia-Troncoso, N (2022); DIN 206-1; see calculations sheet</t>
  </si>
  <si>
    <t>Berechnung Druckfestigkeitsklasse R-CRC</t>
  </si>
  <si>
    <t>Composition (kg)</t>
  </si>
  <si>
    <t xml:space="preserve">crushed concrete
</t>
  </si>
  <si>
    <t>Näherung Druckfestigkeit basierend auf Wasser-Zement-Verhältnis</t>
  </si>
  <si>
    <t>aggregates</t>
  </si>
  <si>
    <t>carbon fibers</t>
  </si>
  <si>
    <t>w/z =</t>
  </si>
  <si>
    <t>w/z</t>
  </si>
  <si>
    <t>w/z :</t>
  </si>
  <si>
    <t>Wasser-Zement-Verhältnis</t>
  </si>
  <si>
    <t>CEM III A, 42,5 R</t>
  </si>
  <si>
    <t xml:space="preserve"> =</t>
  </si>
  <si>
    <t>160/(280+95) =</t>
  </si>
  <si>
    <t>w :</t>
  </si>
  <si>
    <t>Wassergehalt</t>
  </si>
  <si>
    <t>fly ash</t>
  </si>
  <si>
    <t xml:space="preserve">z : </t>
  </si>
  <si>
    <t>Zementmenge</t>
  </si>
  <si>
    <t>tap water</t>
  </si>
  <si>
    <t>superplasticizer</t>
  </si>
  <si>
    <t>Mit Hilfe der Walzkurven wird über den w/z-Wert die erforderliche Druckfestigkeit ermittelt</t>
  </si>
  <si>
    <t xml:space="preserve">Für einen Zement CEM III 42,5 R ergibt sich: fc,dry,cube = </t>
  </si>
  <si>
    <t>N/mm^2</t>
  </si>
  <si>
    <t>fc,cube =</t>
  </si>
  <si>
    <t>0,92 * fc,dry,cube = 0,92 *60 =</t>
  </si>
  <si>
    <t xml:space="preserve">Vorhaltemaß v ohne bekannt Standardabweichung: </t>
  </si>
  <si>
    <t>9-12 N/mm^2</t>
  </si>
  <si>
    <t xml:space="preserve">gewählt: </t>
  </si>
  <si>
    <t>v =</t>
  </si>
  <si>
    <t>fck,cube =</t>
  </si>
  <si>
    <t>fcm,cube - v = 55,2 - 9 =</t>
  </si>
  <si>
    <t>Druckfestigekeitsklasse C35/45</t>
  </si>
  <si>
    <t>Überprüfung!! - Einfluss recycelter Anteil?</t>
  </si>
  <si>
    <t xml:space="preserve">(RC-Körnungen nur bis zu einer Druckfestigkeit von C30/37 bei bestimmten Expositionsklassen verwendet werden) </t>
  </si>
  <si>
    <t>Berechnung Zusammensetzung conventional concrete</t>
  </si>
  <si>
    <t>nach DIN 206-1 mit Zement-Merkblatt</t>
  </si>
  <si>
    <t>Bestimmung Zusammensetzung über Druckfestigkeitsklasse:</t>
  </si>
  <si>
    <t>Bereich Normalbeton :</t>
  </si>
  <si>
    <t>C8/10 - C50/60</t>
  </si>
  <si>
    <t>Druckfestigkeitsklassen Industrieboden (abhängig von Einsatzbereich) :</t>
  </si>
  <si>
    <t>C25/30 - C45/50</t>
  </si>
  <si>
    <t>gewählt:</t>
  </si>
  <si>
    <t>C30/37</t>
  </si>
  <si>
    <t>mit Zement: CEM I 42,5 R (Portlandzement)</t>
  </si>
  <si>
    <t>konventioneller Beton</t>
  </si>
  <si>
    <t>Je nach Expositionsklasse: höchstzulässiges Wasser-/ Zementverhältnis: 0,55</t>
  </si>
  <si>
    <t xml:space="preserve">Angabe Dichten: Zement-Merkblatt </t>
  </si>
  <si>
    <t>Je nach Expositionsklasse: Mindestzementgehalt: 300 - 320 kg/m^3</t>
  </si>
  <si>
    <t>Normale Gesteinskörnung: Trockenrohdichte ~</t>
  </si>
  <si>
    <t>kg/m^3</t>
  </si>
  <si>
    <t>&gt;2000 kg/m^3</t>
  </si>
  <si>
    <t>z.B. Kiessand, Granit</t>
  </si>
  <si>
    <t>≤2600 kg/m^3</t>
  </si>
  <si>
    <t>für Normalbeton</t>
  </si>
  <si>
    <t xml:space="preserve">Portlandzement Dichte: </t>
  </si>
  <si>
    <t>Expositionsklasse für Industrieboden:</t>
  </si>
  <si>
    <t>Betonkorrosion, verursacht durch Verschleißbeanspruchung</t>
  </si>
  <si>
    <t>XM1 - XM3</t>
  </si>
  <si>
    <t>Annahme: miitlere Belastung</t>
  </si>
  <si>
    <t>XM2</t>
  </si>
  <si>
    <t>min C30/37</t>
  </si>
  <si>
    <t>min z = 300</t>
  </si>
  <si>
    <t>max w = 0,55</t>
  </si>
  <si>
    <t xml:space="preserve">Betonkorrosion, verursacht durch chemischen Angriff </t>
  </si>
  <si>
    <t>evtl. XA1 - XA3 je nach geplantem Gebrauch</t>
  </si>
  <si>
    <t>Annahme: keine Angabe - entfällt</t>
  </si>
  <si>
    <t>CEM I anwendbar für alle Expositionsklassen</t>
  </si>
  <si>
    <t>Festlegung Grenzwerte</t>
  </si>
  <si>
    <t xml:space="preserve">c = </t>
  </si>
  <si>
    <t xml:space="preserve">w ≤ </t>
  </si>
  <si>
    <t>fck =</t>
  </si>
  <si>
    <t>fcm,cube =</t>
  </si>
  <si>
    <t>fck,cube + v = 37 + 9 =</t>
  </si>
  <si>
    <t>Umrechnung auf Trockenlagerung</t>
  </si>
  <si>
    <t>0,92 * fc,dry,cube</t>
  </si>
  <si>
    <t>fr,dry,cube =</t>
  </si>
  <si>
    <t>fc,cube/0,92 = 46 / 0,92 =</t>
  </si>
  <si>
    <t>Mit Hilfe der Walzkurven wird der für die Druckfestigkeit erforderliche w/z-Wert ermittelt</t>
  </si>
  <si>
    <t xml:space="preserve">Für einen Zement CEM I 42,5 R ergibt sich: max w/z ≤ 0,52 </t>
  </si>
  <si>
    <t>≤0,55</t>
  </si>
  <si>
    <t xml:space="preserve">w/z = </t>
  </si>
  <si>
    <t>Betonzusammensetzung</t>
  </si>
  <si>
    <t>Wasserghalt w:</t>
  </si>
  <si>
    <t>w =</t>
  </si>
  <si>
    <t xml:space="preserve">w/z * c </t>
  </si>
  <si>
    <t>0,5 * 320 =</t>
  </si>
  <si>
    <t>Volumen Zement:</t>
  </si>
  <si>
    <t>Vz =</t>
  </si>
  <si>
    <t>c / Dichte</t>
  </si>
  <si>
    <t>320 / 3100 =</t>
  </si>
  <si>
    <t>m^3</t>
  </si>
  <si>
    <t xml:space="preserve">Volumen Wasser: </t>
  </si>
  <si>
    <t>Vw =</t>
  </si>
  <si>
    <t>w / Dichte</t>
  </si>
  <si>
    <t>160 / 1000 =</t>
  </si>
  <si>
    <t>Volumen Gesteinskörnung:</t>
  </si>
  <si>
    <t>Vg =</t>
  </si>
  <si>
    <t>1 - Vz - Vw</t>
  </si>
  <si>
    <t>1 - 0,103 - 0,160 =</t>
  </si>
  <si>
    <t>Masse Gesteinskörnung:</t>
  </si>
  <si>
    <t xml:space="preserve">Mg = </t>
  </si>
  <si>
    <t>Vg * Dichte</t>
  </si>
  <si>
    <t>0,737 * 2600 =</t>
  </si>
  <si>
    <t>kg</t>
  </si>
  <si>
    <t>~</t>
  </si>
  <si>
    <t xml:space="preserve">CEM I 42,5 R
</t>
  </si>
  <si>
    <t>Masse Gesamt:</t>
  </si>
  <si>
    <t xml:space="preserve">aggregate </t>
  </si>
  <si>
    <t>M =</t>
  </si>
  <si>
    <t xml:space="preserve">w + c + Mg </t>
  </si>
  <si>
    <t>160 + 320 + 1920 =</t>
  </si>
  <si>
    <t>entspricht Dichte Normalbeton (2400 kg/m^3)</t>
  </si>
  <si>
    <t>Substitution</t>
  </si>
  <si>
    <t>Druckfestigkeitsklasse von recyceltem Carbonbeton höher ist als die des konventionellem Beton</t>
  </si>
  <si>
    <t>1 m^3 Industrieboden aus konventionellem Beton kann durch Carbonbeton ersetzt werden</t>
  </si>
  <si>
    <t>Anforderung an Druckfestigkeitsklasse erfüllt</t>
  </si>
  <si>
    <t>Crushed Concrete</t>
  </si>
  <si>
    <t>around 30 % waste from crushing, needs to be landfilled/disposed (Reference: Gebremariam, A (2020))</t>
  </si>
  <si>
    <t>LCI:  Erec = 0 (as only primary materialsl and no secondary material is used for the conventional concrete product)</t>
  </si>
  <si>
    <t>for reuse, around 30 % waste from crushing, needs to be landfilled/disposed (Reference: Gebremariam, A (2020))</t>
  </si>
  <si>
    <t>(Reference: https://doi.org/10.3390/su151411469) '@Carla adjusted because you cannot assume that CRC needs the same energy as concrete in mechanical recycling. Due to carbon fibers it might be more energy intensive, so I have taken the numbers from this reference</t>
  </si>
  <si>
    <t>Fuel Demand</t>
  </si>
  <si>
    <t xml:space="preserve">Water </t>
  </si>
  <si>
    <t>0.00895 MJ Diesel/ kg (Reference: https://doi.org/10.3390/su151411469) '@Carla adjusted because you cannot assume that CRC needs the same energy as concrete in mechanical recycling. Due to carbon fibers it might be more energy intensive, so I have taken the numbers from this reference</t>
  </si>
  <si>
    <t>0.0067 kg/ kg (Reference: https://doi.org/10.3390/su151411469) '@Carla adjusted because you cannot assume that CRC needs the same energy as concrete in mechanical recycling. Due to carbon fibers it might be more energy intensive, so I have taken the numbers from this reference</t>
  </si>
  <si>
    <t>Concrete Crushing Waste</t>
  </si>
  <si>
    <t>Gebremariam, A (2020)</t>
  </si>
  <si>
    <t>Following the recycling rate from Gebremariam, A (2020)</t>
  </si>
  <si>
    <t>Composite MM4R CCB</t>
  </si>
  <si>
    <t>PP for Organo Sheet, Moulding Granulate and Hollow Profile</t>
  </si>
  <si>
    <t>GF for Organo Sheet, Moulding Granulate and Hollow Profile</t>
  </si>
  <si>
    <t>Production Polypropylene (PP)</t>
  </si>
  <si>
    <t>Production Glass Fiber (GF)</t>
  </si>
  <si>
    <t>Primary mass quantity data from MM4R Project (Assumption: 10% cuttings hollow profile; 30% cuttings organo sheet &amp; 0% cuttings moulding granulate) (secondary GaBi process)</t>
  </si>
  <si>
    <t>DE: Glass fibres Sphera</t>
  </si>
  <si>
    <t>DE: Polypropylene granulate (PP) mix Sphera</t>
  </si>
  <si>
    <t>LCI:  Erec (A small amount of recycled PP is used for molding granulate)</t>
  </si>
  <si>
    <t>Literature Research Energy Demand for Recycling PP - Sorting</t>
  </si>
  <si>
    <t>Energy Demand PP Recycling - Sorting [MJ/kg]</t>
  </si>
  <si>
    <t>Gandhi et al 2021 https://www.techscience.com/jrm/v9n8/42123</t>
  </si>
  <si>
    <t>Jeswani et al 2021  https://www.sciencedirect.com/science/article/pii/S0048969720380141</t>
  </si>
  <si>
    <t>Volk et al 2021 https://onlinelibrary.wiley.com/doi/10.1111/jiec.13145</t>
  </si>
  <si>
    <t>Khoo 2019 https://www.sciencedirect.com/science/article/pii/S0921344919300679?via%3Dihub</t>
  </si>
  <si>
    <t>Hefei Growking Optoelectroni c Technology Co., Ltd, 2024 https://www.grotechcolorsorter.com/plastic-color-sorting-machine-for-pp-pet-pvc-recycling_p59.html, Operating load 70%</t>
  </si>
  <si>
    <t>Literature Research Air Demand PP Recycling - Sorting</t>
  </si>
  <si>
    <t>Air Demand PP Recycling - Sorting [m3/kg]</t>
  </si>
  <si>
    <t>Hefei Growking Optoelectronic Technology Co., Ltd, 2024 https://www.grotechcolorsorter.com/plastic-color-sorting-machine-for-pp-pet-pvc-recycling_p59.html
Model ZF700: 2700 l/min/1000*60/5500kg/h=0,0295 m3/kg</t>
  </si>
  <si>
    <t>Hefei Growking Optoelectronic Technology Co., Ltd, 2024 https://www.grotechcolorsorter.com/plastic-color-sorting-machine-for-pp-pet-pvc-recycling_p59.html
Model ZF 300: 1200 l/min/1000*60/2000kg/h= 0,036 m3/kg</t>
  </si>
  <si>
    <t>Literature Research Energy Demand for Recycling PP - Washing</t>
  </si>
  <si>
    <t>Energy Demand PP Recycling - Washing [MJ/kg]</t>
  </si>
  <si>
    <t>Hidalgo-Crespo et al 2022  https://hal.science/hal-04105782v1</t>
  </si>
  <si>
    <t>Vlachopoulos et al 2023 https://www.semanticscholar.org/paper/AN-ASSESSMENT-OF-ENERGY-SAVINGS-DERIVED-FROM-OF-NEW-Vlachopoulos-Vlachopoulos/96a1e16d3f151cae8263b3fb275a787e85e5cf35</t>
  </si>
  <si>
    <t>Zhanjiang Beier Machinery 2024, Operating load 70%</t>
  </si>
  <si>
    <t>Yill Machinery 2024, Operating load 70%</t>
  </si>
  <si>
    <t>Literature Research Water Demand for Recycling PP - Washing</t>
  </si>
  <si>
    <t>Water Demand PP Recycling - Washing [m3/kg]</t>
  </si>
  <si>
    <t>Zhanjiang Beier Machinery 2024</t>
  </si>
  <si>
    <t>Yill Machinery 2024 https://yilimachinery.com/recycling-solutions/plastic-washing-line/pe-pp-film-pp-woven-raffia-bag-recycling-and-washing-line/
Model QX300: 0,5 t Wasser/h*1000 kg/t / 300 kg PP/h /1000 kg/m3= 0,00167 m3/h</t>
  </si>
  <si>
    <t>Yill Machinery 2024 https://yilimachinery.com/recycling-solutions/plastic-washing-line/pe-pp-film-pp-woven-raffia-bag-recycling-and-washing-line/
Model QX500: 1,2t/h*1000/500 kg/h/1000</t>
  </si>
  <si>
    <t>Yill Machinery 2024  https://yilimachinery.com/recycling-solutions/plastic-washing-line/pe-pp-film-pp-woven-raffia-bag-recycling-and-washing-line/
Model QX1000 : 3t/h*1000/1000 kg/h /1000= 0,003</t>
  </si>
  <si>
    <t>Retech Machine 2024 https://www.retechmachine.com/product/post-consumer-pp-pe-ldpe-lldpe-film-bag-washing-recycling-line.html
Model RM300: 5 t/h*1000/300 kg/h/1000</t>
  </si>
  <si>
    <t>Retech Machine 2024 https://www.retechmachine.com/product/post-consumer-pp-pe-ldpe-lldpe-film-bag-washing-recycling-line.html
Model RM 500: 7 t/h*1000/500/1000</t>
  </si>
  <si>
    <t xml:space="preserve">Retech Machine 2024 https://www.retechmachine.com/product/post-consumer-pp-pe-ldpe-lldpe-film-bag-washing-recycling-line.html
Model RM 1000: 9 t/h*1000/1000/1000 </t>
  </si>
  <si>
    <t>Literature Research Energy Demand for Recycling PP - Pelletizing</t>
  </si>
  <si>
    <t>Energy Demand PP Recycling - Pelletizing [MJ/kg]</t>
  </si>
  <si>
    <t>Zhanjiang Beier Machinery, 2024 https://www.beierrecycling.com/strand-pelletizer-machine/, Operating load 70%</t>
  </si>
  <si>
    <t>Fangsheng Machinery, 2024 https://www.fsplasmachine.com/pe-pp-film-pelletizing-granulating- machine/, Operating load 70%</t>
  </si>
  <si>
    <t>Gu et al., 2017 https://doi.org/10.1016/j.scitotenv.2017.05.278</t>
  </si>
  <si>
    <t>CMG SPA, 2024 https://www.cmg-granulators.com/en/granulators-evolution-series/, Operating load 70%</t>
  </si>
  <si>
    <t>Pallmann, 2024 https://www.pallmann.eu/fileadmin/user_upload/K630.2_Granulating_of_Plastics.pdf, Operating load 70%</t>
  </si>
  <si>
    <t>Vlachopoulos http://www.polydynamics.com/GREENHOUSE_GASES_INTERNET_VERSION_WORLD_BANK.pdf</t>
  </si>
  <si>
    <t>Volk et al, 2021 https://doi.org/10.1111/jiec.13145</t>
  </si>
  <si>
    <t>Literature Research Energy Demand for Recycling PP - Drying</t>
  </si>
  <si>
    <t>Energy Demand PP Recycling - Drying [MJ/kg]</t>
  </si>
  <si>
    <t>Vlachopoulos http://www.polydynamics.com/GREENHOUSE_GASES_INTERNET_VERSION_WORLD_BANK.pdf Drying Polyethylene</t>
  </si>
  <si>
    <t xml:space="preserve">Zhangjiagang Linda Machinery Co, 2024 https://www.ld-machinery.com/pa-dryer-product/? gad_source=1&amp;gclid=Cj0KCQjw6PGxBhCVARIsAIumnWaBjGVFnswFUDbfcD1wg2u2 jqsJM4gu3-4aAdCnIultU_wDkaw0qcQaAuPUEALw_wcB, Operating load 70% 0,08kWh/kg*3,6*0,7 </t>
  </si>
  <si>
    <t>Literature Research Energy Demand for Recycling PP - Grinding</t>
  </si>
  <si>
    <t>Energy Demand PP Recycling -Grinding [MJ/kg]</t>
  </si>
  <si>
    <t>Gandhi et al, 2021 https://doi.org/10.32604/jrm.2021.015529</t>
  </si>
  <si>
    <t>Macko, 2012 https://www.intechopen.com/chapters/37118</t>
  </si>
  <si>
    <t>Flizikowski, 2009 https://yadda.icm.edu.pl/baztech/element/bwmeta1.element.baztech-article-BPG8-0015-0004</t>
  </si>
  <si>
    <t>PP (Input for recycling)</t>
  </si>
  <si>
    <t>Primary mass quantity data from MM4R Project</t>
  </si>
  <si>
    <t>Electricity</t>
  </si>
  <si>
    <t>Primary mass data MM4R Project &amp; Lit. Data for energy demand: Sorting 0,2338 MJ/kg+ Washing 1,52714+ Grinding 0,8768+ Drying 0,3268+ Pelletizing 1,1098 = 4,07434 MJ/kg</t>
  </si>
  <si>
    <t>Compressed Air</t>
  </si>
  <si>
    <t xml:space="preserve">GLO: Compressed air 7 bar (medium power consumption) </t>
  </si>
  <si>
    <t>Quantity [kg] [MJ] [m3]</t>
  </si>
  <si>
    <t xml:space="preserve">Primary mass data MM4R Project &amp; Lit. Data for air demand: 0,03275 m3/ kg; 7 bar in consultation with project partner </t>
  </si>
  <si>
    <t>Primary mass data MM4R Project &amp; Lit. Data for water demand: 0,0077 m3/ kg = 7,7 kg/ kg</t>
  </si>
  <si>
    <t xml:space="preserve">Recycled PP </t>
  </si>
  <si>
    <t>Assumption, no waste</t>
  </si>
  <si>
    <r>
      <rPr>
        <b/>
        <sz val="11"/>
        <color theme="1"/>
        <rFont val="Calibri"/>
        <family val="2"/>
        <scheme val="minor"/>
      </rPr>
      <t xml:space="preserve">Mechanical Recycling: </t>
    </r>
    <r>
      <rPr>
        <sz val="11"/>
        <color theme="1"/>
        <rFont val="Calibri"/>
        <family val="2"/>
        <scheme val="minor"/>
      </rPr>
      <t>Mechanical recycling is the most widely applied process for recycling glass fiber-reinforced polymers (GFRPs). This method involves grinding the composite waste into smaller particles, which can then be used as fillers or reinforcements in new composite materials. Mechanical recycling is particularly suitable for GFRP waste and has been implemented at an industrial scale by GFRP manufacturers  (https://www.mdpi.com/2071-1050/14/24/16855?utm_source=chatgpt.com)</t>
    </r>
  </si>
  <si>
    <t xml:space="preserve">LCI:  ErecEoL </t>
  </si>
  <si>
    <t>Literature Research Energy Demand for GFRP Mechanical Recycling</t>
  </si>
  <si>
    <t>Energy Demand GFRP Mechanical Recycling [MJ/kg]</t>
  </si>
  <si>
    <t xml:space="preserve">Howarth 2014 https://www.sciencedirect.com/science/article/pii/S0959652614006118?via%3Dihub </t>
  </si>
  <si>
    <t>Differences in energy demand, especially depending on the recycling rate. Various values were therefore taken and the mean value was calculated.</t>
  </si>
  <si>
    <t>Howarth 2014 https://www.sciencedirect.com/science/article/pii/S0959652614006118?via%3Dihub mechanical recycling method was
reported to be 2.03 MJ/kg and 0.27 MJ/kg at recycling rates of 10 kg/
h and 150 kg/h</t>
  </si>
  <si>
    <t xml:space="preserve">Pickering 2016 https://www.sciencedirect.com/science/article/pii/S1359835X05002101?via%3Dihub </t>
  </si>
  <si>
    <t xml:space="preserve">Stergiou 2022 https://www.mdpi.com/2504-477X/6/5/144 </t>
  </si>
  <si>
    <t>Lee 2016 https://opendata.uni-halle.de/bitstream/1981185920/81413/1/Lee_ZiJun_Life%20Cycle%20Assessment_of_Reuse-Remanufacture_EoL_Fibre_Reinforced_Polymer.pdf</t>
  </si>
  <si>
    <t>Shuaib 2016 https://www.sciencedirect.com/science/article/pii/S0959652616001190?via%3Dihub</t>
  </si>
  <si>
    <t xml:space="preserve">Mativenga 2016 https://www.sciencedirect.com/science/article/pii/S000785061630107X?via%3Dihub bei 1,2 kg/h  sehr wenig </t>
  </si>
  <si>
    <t>Utekar 2021 https://www.sciencedirect.com/science/article/pii/S1359836820336428?via%3Dihub</t>
  </si>
  <si>
    <t>Diez-Canamero 2021 https://www.sciencedirect.com/science/article/pii/S0956053X23002726?via%3Dihub</t>
  </si>
  <si>
    <t xml:space="preserve">Zhang 2021 https://www.sciencedirect.com/science/article/pii/S1359836821005047?via%3Dihub mechanical shredding (0.17–1.93 MJ/kg) </t>
  </si>
  <si>
    <t>Lieberwirth 2017 https://books.vivis.de/wp-content/uploads/2023/01/2017_RuR_327-338_Lieberwirth.pdf</t>
  </si>
  <si>
    <t>GF-PP Composite (PP for recycling)</t>
  </si>
  <si>
    <t>Primary mass quantity data from MM4R Project: 94,8% Recovery Rate https://link.springer.com/article/10.1007/s42452-020-2195-4; 1,079kg*0,948</t>
  </si>
  <si>
    <t>GF-PP Composite (GF for recycling)</t>
  </si>
  <si>
    <t>Primary mass data MM4R Project &amp; Lit. Data for energy demand (from Tables above): 1,649 MJ/ kg</t>
  </si>
  <si>
    <t>Recycled GF</t>
  </si>
  <si>
    <t xml:space="preserve">Quantity [kg] [MJ] </t>
  </si>
  <si>
    <t>Assuming a recycling rate of 94,8%: https://link.springer.com/article/10.1007/s42452-020-2195-4</t>
  </si>
  <si>
    <t>Shredding and Melting Literature Data (0,79135*(0,126 + 2,16))</t>
  </si>
  <si>
    <t>Shredding and Melting Literature Data (1,8829*(0,126 + 2,16))</t>
  </si>
  <si>
    <t>LCI:  ED</t>
  </si>
  <si>
    <t>Shredding and Melting Literature Data (0,22325*(0,126 + 15,7))</t>
  </si>
  <si>
    <t>GF-PP Composite Recycling Waste</t>
  </si>
  <si>
    <t>Landfilled GF-PP Composite Recycling Waste</t>
  </si>
  <si>
    <r>
      <t xml:space="preserve">EU-28: Plastic waste on landfill Sphera </t>
    </r>
    <r>
      <rPr>
        <sz val="11"/>
        <color rgb="FF000000"/>
        <rFont val="Calibri"/>
        <family val="2"/>
        <scheme val="minor"/>
      </rPr>
      <t>(best fitting GaBi Process from the available ones)</t>
    </r>
  </si>
  <si>
    <t>Allocation CFF CCB into CFF for Alu parts and CFF for St parts that are seperated at the EoL</t>
  </si>
  <si>
    <t>Allocation CFF CCB into CFF for Alu parts, CFF for St parts and CFF for composite parts that are seperated at the EoL</t>
  </si>
  <si>
    <t>GFRP Composite: Mass (raw material) = 1,079 kg (PP) &amp; 1,249 kg (GF); Mass (recycled) = 3,2091 kg (low cuttings) &amp; 1,6834 kg (high cuttings); Mass (landfilled) = 0,169 kg (low cuttings) &amp; 0,0886 kg (high cuttings)</t>
  </si>
  <si>
    <t>Primary mass quantity data from MM4R Project: 94,8% Recovery Rate https://link.springer.com/article/10.1007/s42452-020-2195-4; 1,0195kg*0,948</t>
  </si>
  <si>
    <t>Primary Data MM4R Project; 94,8% Recovery Rate https://link.springer.com/article/10.1007/s42452-020-2195-4; 1,1112 kg*0,948</t>
  </si>
  <si>
    <t>Al-Sheet: Mass (raw material) = 0,9996 kg (low cuttings) &amp; 2,973 kg (high cuttings); Mass (recycled) = 0,79135 kg (low cuttings) &amp; 1,8829 kg (high cuttings); Mass (landfilled) = 0,04165 kg (low cuttings) &amp; 0,0991 kg (high cuttings)</t>
  </si>
  <si>
    <t>St-Sheet: Mass (raw material) = 0,3525 kg (high cuttings); Mass (recycled) = 0,22325 kg (high cuttings); Mass (landfilled) =  0,01175 kg (high cuttings)</t>
  </si>
  <si>
    <r>
      <rPr>
        <b/>
        <sz val="11"/>
        <rFont val="Calibri"/>
        <family val="2"/>
        <scheme val="minor"/>
      </rPr>
      <t xml:space="preserve">Porolysis </t>
    </r>
    <r>
      <rPr>
        <sz val="11"/>
        <rFont val="Calibri"/>
        <family val="2"/>
        <scheme val="minor"/>
      </rPr>
      <t>(Reason for Porolysis: mechanical recycling of carbon fibers - not part of this case study since pyrolysis can recover higher quality recycled carbon fibers, it allows more options to substitute virgin carbon fibers; pyrolisis has higher environmental impacts but achieves better results (Backes; Del Rosario (2022))</t>
    </r>
  </si>
  <si>
    <t>174,63 MJ Diesel: Backes 2022 (for demolition pre-crushing; loading of demolition material; main crushing with jaw crusher; sieving, discharche to the bunker) (Since Luthin 2023 focuses on already clean CRC scarp)</t>
  </si>
  <si>
    <t>Backes 2022 (for pre-seperation with magnetic seperator; main separation sorting)  (Since Luthin 2023 focuses on already clean CRC scarp)</t>
  </si>
  <si>
    <t>DE: Electricity grid mix (2020)</t>
  </si>
  <si>
    <t>Water vapour [Inorganic emissions to air]</t>
  </si>
  <si>
    <t>32-3% waste from crushing (residual fraction), needs to be landfilled/disposed (Reference: Luthin 2023 &amp; https://doi.org/10.1007/s42452-020-2195-4)</t>
  </si>
  <si>
    <t>DE: Inert matter (Construction waste) on landfill Sphera</t>
  </si>
  <si>
    <t>DE: Concrete C8/10 Sphera</t>
  </si>
  <si>
    <t>DE: Gravel grain 2-32 mm Sphera</t>
  </si>
  <si>
    <t>DE: Carbon fiber (CF; PAN-based; HT) - 08 Fraunhofer</t>
  </si>
  <si>
    <t>DE: Cement (CEM III 42.5) (burden free binders) (EN15804 A1-A3) Sphera</t>
  </si>
  <si>
    <t>DE: Fly ash (EN15804 A1-A3) Sphera</t>
  </si>
  <si>
    <t>DE: Tap water from groundwater Sphera</t>
  </si>
  <si>
    <t>DE: Concrete admixtures – Plasticizer and superplasticizer - Deutsche Bauchemie e.V. (DBC) (A1-A3) Sphera-EPD &lt;t-agg&gt;</t>
  </si>
  <si>
    <t>Check values given in Annex C which are only applicable for packaging materials: A value of Qsin/Qp=1 was identified</t>
  </si>
  <si>
    <t>Check values given in Annex C which are only applicable for packaging materials: A value of Qsout/Qp=1 was identified</t>
  </si>
  <si>
    <t>Check values given in Annex C which are only applicable for packaging materials: A value of Qsin/Qp=1 and Qsout/Qp=1 was identified</t>
  </si>
  <si>
    <t>Value has to be set to 0</t>
  </si>
  <si>
    <t>Al-Sheet Component Part (see above)</t>
  </si>
  <si>
    <t>St-Sheet Component Part (see above)</t>
  </si>
  <si>
    <t>Composite Part</t>
  </si>
  <si>
    <t>0,5 - 0,8</t>
  </si>
  <si>
    <t>Aluminum/ Steel reference cross car beam (CCB)</t>
  </si>
  <si>
    <t>Literature/ Market Studies</t>
  </si>
  <si>
    <t>Application Specific Value from Annex C and literature/ market study research</t>
  </si>
  <si>
    <t xml:space="preserve"> </t>
  </si>
  <si>
    <t>Application Specific Value from Annex C &amp; literature and market research</t>
  </si>
  <si>
    <t>Based on packeging default values and literature/ market research</t>
  </si>
  <si>
    <t>Based on Default values from Annex C and market research literature</t>
  </si>
  <si>
    <t>Check in Annex C: If a material specific A value is not available, the A value shall be set equal to A=0,5</t>
  </si>
  <si>
    <t>Default value from Annex C, market research</t>
  </si>
  <si>
    <t xml:space="preserve">Check if company specific value is available: Yes, no recycled composite input content, therefore, R1=0 </t>
  </si>
  <si>
    <t>Check in Annex C if company specific value is available:  Current scenario without recycled input content R1=0 (future technically possible scenario with recycled input content R1=0,7)</t>
  </si>
  <si>
    <t>Check in Annex C if company specific values are available --&gt; No, value doesn't exist</t>
  </si>
  <si>
    <t xml:space="preserve">Check in Annex C if company specific value is available: Yes, no recycled St input content, therefore, R1=0 </t>
  </si>
  <si>
    <t>Default Value from Annex C and market lit. Research</t>
  </si>
  <si>
    <t>Check values given in Annex C which are only applicable for packaging materials: A value for only PP was found of Qsin/Qp=0,9 and Qsout/Qp=0,1 was identified</t>
  </si>
  <si>
    <t>Check values given in Annex C which are only applicable for packaging materials: A value for only PP was found of Qsin/Qp=0,9</t>
  </si>
  <si>
    <t>Check values given in Annex C which are only applicable for packaging materials: A value for only PP was found of Qsout/Qp=0,1</t>
  </si>
  <si>
    <t>Mirzaie, S (2020)</t>
  </si>
  <si>
    <t>Check in Annex C if company specific value is available: No, no value is available, study based on secondary data</t>
  </si>
  <si>
    <t>Default Value from Annex C &amp; literature/ market analysis</t>
  </si>
  <si>
    <t>Company specific value (primary project data) and literature case study analysis</t>
  </si>
  <si>
    <t>Literature and maket analysis</t>
  </si>
  <si>
    <t>Mass Allocation</t>
  </si>
  <si>
    <t xml:space="preserve">Aluminum/ Steel Reference CCB </t>
  </si>
  <si>
    <t>CFF Parameter Al-Sheet</t>
  </si>
  <si>
    <t>CFF Parameter St-Sheet</t>
  </si>
  <si>
    <t>Impact Parameter Al-Sheet</t>
  </si>
  <si>
    <t>Impact Parameter St-Sheet</t>
  </si>
  <si>
    <t>Impact Parameter Composite Part</t>
  </si>
  <si>
    <t>CFF Parameter Composite</t>
  </si>
  <si>
    <t>Case Study 2: Industrial Floor</t>
  </si>
  <si>
    <t>Impact Parameter Concrete Industrial Floor</t>
  </si>
  <si>
    <t>CFF Parameter Concrete Industrial Floor</t>
  </si>
  <si>
    <t>Impact Parameter Composite Industrial Floor</t>
  </si>
  <si>
    <t>CFF Parameter Composite Industrial Floor</t>
  </si>
  <si>
    <t>Distribution Function</t>
  </si>
  <si>
    <t>Justification</t>
  </si>
  <si>
    <t>Defined as a reference value (primary material=100% quality), meaning no variability</t>
  </si>
  <si>
    <t>No recycled content in the input material, so no variability</t>
  </si>
  <si>
    <t>Truncated Normal (mean=0,5; std=0,05; min=0,45; max=0,55)</t>
  </si>
  <si>
    <t>R1 (recycled input)</t>
  </si>
  <si>
    <t>R2 (recycling at EoL)</t>
  </si>
  <si>
    <t>Qp (Virgin material quality)</t>
  </si>
  <si>
    <t>Qsin (Quality of ingoing secondary material)</t>
  </si>
  <si>
    <t>Qsout (Quality of outgoing secondary material)</t>
  </si>
  <si>
    <t>A (Allocation factor)</t>
  </si>
  <si>
    <t>Carbon fibers of specific length (Consists of 100% recycled material; The final fiber content is currently assumed to be 4–8 kg)</t>
  </si>
  <si>
    <t>CEM III A, 42.5 R (purchased material)</t>
  </si>
  <si>
    <t>Fly ash (purchased material)</t>
  </si>
  <si>
    <t>Tap water (purchased material)</t>
  </si>
  <si>
    <t>Superplasticizer (PCE basis [3.5 M-% of cement] ) /purchased material)</t>
  </si>
  <si>
    <t>Values center around 0,6 (Reflects the weighted recycled content); but more unlikely cases of 0 (no recycled content of purchased materials) and 1 (fully recycled content of carbon fibers) occure in this case study; the distribution allows most values stay within a realistic range while allowing small variations</t>
  </si>
  <si>
    <t>Current company-specific scenario specifies no recycled input (R1 = 0).</t>
  </si>
  <si>
    <t xml:space="preserve">Based on assuming: primary material has the highest quality </t>
  </si>
  <si>
    <t xml:space="preserve">Based on Qp=1,assuming: primary material has the highest quality </t>
  </si>
  <si>
    <t>(1) A=0,5 for concrete case study --&gt; Accoding to PEF; (2) A = 0,5 : declining concrete production, simultaneously increasing demand for more sustainable alternatives to conventional concrete, resulting in an equilibrium of demand and offer of conventional concrete (3) A = 0,5 : value was chosen because of the equilibrium between the supply of the reusable building components and the demand of the reused components indicating an equilibrium between offer and demand</t>
  </si>
  <si>
    <t>(1) PEF, Mirzaie, S (2020); (2) Beton.org (2024), BW (2011); (3) Yang (2024)</t>
  </si>
  <si>
    <t>R1 = 0 : case study of in-situ concrete with 20% cement replacement and no recycled content; input of only primary concrete</t>
  </si>
  <si>
    <t>R1 = 0 : produced using virgin materials in the first use cycle, where no recycled/ reused content is used</t>
  </si>
  <si>
    <t>0,5 - 1</t>
  </si>
  <si>
    <t xml:space="preserve"> E*v=Ev: two quality ratios are needed: Qsin/Qp associated to the recycled content, and Qsout/Qp associated to recyclability at EoL </t>
  </si>
  <si>
    <t xml:space="preserve">Check values given in Annex C which are only applicable for packaging materials: No value exists </t>
  </si>
  <si>
    <t xml:space="preserve">Check values given in Annex C for application or material specific based on economic aspects: No vlaue exists </t>
  </si>
  <si>
    <t>Qp=1,assuming: primary material has the highest quality (a) Qp = 1 : price for recycling concrete C30/37 is 192 €/m3, price for concrete for industrial floor is 179 €/m3 to 197 €/m3, for an exposure class of XM2 and largest grain size of 32 mm price is 197 €/m3, hence price of the recycled concrete Qsout is 97% of the price of the primary material Qp, indicating 197 €/m3 is 100% (b) Qsout/ Qp = 1 : assumption that crushed concrete can be interchangeably used instead of virgin crushed gravel, that scenario can be considered as the closest to the actual use of crushed concrete - indicating that the quality of the concrete does not decline (c) Qp = 1 : as for concrete, it can be downcycled as recycled concrete aggregate (RCA); Studies have shown that RCA costs $2.40 per tonne, while natural aggregate costs $4.70 per tonne (Frondistou-Yannas, 1981) - indicating that the rpice of the natural aggregate equals to 100%</t>
  </si>
  <si>
    <t>(a) Rennig (2023); (b) Mirzaie (2020) ©Yang (2024)</t>
  </si>
  <si>
    <t xml:space="preserve">Check values given in Annex C for application or material specific based on physical aspects: No vlaue exists </t>
  </si>
  <si>
    <t>Uhlig (2023)</t>
  </si>
  <si>
    <t>range determined according to economic approach and literature analysis</t>
  </si>
  <si>
    <t>A = 0,5 - 0,7 : low offer and low demand but slightly increasing offer, working on increasing offer - Low demand due to high costs, unfamiliarity, conservative market</t>
  </si>
  <si>
    <t>Check if company specific value is available: Yes, recycled concrete and carbon fiber input content: 80% of recycled concrete; 100% of recycled carbon fiber; 0% for cement, tap water, superplasticizer, flying ash company specific value available: 80% recycled concrete input (75% of input are aggregate), 100% recycled cabon fiber input (0,3% of input are carbon fiber) --&gt;  allokation: R1 = 0,8*0,75+1*0,003 = 0,603</t>
  </si>
  <si>
    <t>R1 = 0 : a fictitious product made from only primary composite material was chosen --&gt; case study focuses on virgin carbon fiber, which are not used in CRC scrap case study - hence no usable assessment of R1</t>
  </si>
  <si>
    <t xml:space="preserve">Default Value from Annex C and literature/ market analysis </t>
  </si>
  <si>
    <t>Check values given in Annex C for application or material specific based on economic aspects</t>
  </si>
  <si>
    <t>Check values given in Annex C which are only applicable for packaging materials: Value of Qp=1 was available</t>
  </si>
  <si>
    <t xml:space="preserve">Quality ratios are considered; the ratio to the value Qp is always calculated, whereby Qp represents 100%; the ratios are shown at Qsin and Qsout; Qp = 1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of the recycled material after pyrolysis compared to the virgin material, assuming a tensile strength of the virgin material of 100% </t>
  </si>
  <si>
    <t>Hermansson (2022)</t>
  </si>
  <si>
    <r>
      <t>Check values given in Annex C for application or material specific based on physical aspects: No vlaue exists</t>
    </r>
    <r>
      <rPr>
        <sz val="11"/>
        <color rgb="FFFF0000"/>
        <rFont val="Calibri"/>
        <family val="2"/>
        <scheme val="minor"/>
      </rPr>
      <t xml:space="preserve"> </t>
    </r>
  </si>
  <si>
    <r>
      <t>Check values given in Annex C for application or material specific based on economic aspects: No vlaue exists</t>
    </r>
    <r>
      <rPr>
        <sz val="11"/>
        <color rgb="FFFF0000"/>
        <rFont val="Calibri"/>
        <family val="2"/>
        <scheme val="minor"/>
      </rPr>
      <t xml:space="preserve"> </t>
    </r>
  </si>
  <si>
    <t xml:space="preserve">Literature and maket analysis </t>
  </si>
  <si>
    <t>Aluminium scrap demand exceeds supply. Industries had to replace secondary aluminium with primary aluminium. High Demand, low supply means low A value according to PEF Annex C A=0,2</t>
  </si>
  <si>
    <t>SMM, 2024</t>
  </si>
  <si>
    <t>The Battery Pass consortium, 2023</t>
  </si>
  <si>
    <t>This paper used the A value out of Annex C for aluminium: 0,2</t>
  </si>
  <si>
    <t>Kulczycka, Lewandowska, Joachimiak; 2024</t>
  </si>
  <si>
    <t>This paper applies various methodologies to determine different values for R1, ranging from 0% to 10%</t>
  </si>
  <si>
    <t>Seyed Shahabaldin Seyed Salehi, 2020</t>
  </si>
  <si>
    <t>Qp=1,assuming: primary material has the highest quality: (a) Ultra high purity of primary aluminium has a purity of 99,999% (b) Qp has been set to 1 for aluminium</t>
  </si>
  <si>
    <t>(a) Hoshikawa, Tanaka, Megumi, 2013 (b) The Battery Pass consortium, 2023</t>
  </si>
  <si>
    <t xml:space="preserve">Based literature and on assuming: primary material has the highest quality </t>
  </si>
  <si>
    <t>Based on packeging default values and literature/ economic market research</t>
  </si>
  <si>
    <t>(a) Suer, Traverso, Jäger; 2022 (b) World Steel Association, 2021</t>
  </si>
  <si>
    <t>0,2 is choosen for high quality secondary materials, which is the case for many metals</t>
  </si>
  <si>
    <t>(a) This paper applies various methodologies to determine a value for R1. The value has been set to 0% (b) This paper calculated the R1 value for steel and set the value to 0,6 © A value of 0,17 has been set for R1 for steel in this paper</t>
  </si>
  <si>
    <t>(a) Seyed Shahabaldin Seyed Salehi, 2020 (b) Ungureanu et al., 2019 © Babian, 2022</t>
  </si>
  <si>
    <t>Check in Annex C the availability of material-specific value: Yes, material specific European average value for steel is given with 0,85 in Annex C</t>
  </si>
  <si>
    <t>This paper set R1 to 0 for the fibre and the poylmer; The recycling content and recycling routes of GF-PP are not easily to assess, because the GF-PP waste tracking is not well established in the market --&gt; No fixed value can be set</t>
  </si>
  <si>
    <t>Hermansson et al., 2022; Gonçalves, Martinho, Oliveira; 2022</t>
  </si>
  <si>
    <t xml:space="preserve">Check in Annex C the availability of application-specific value: No, value doesn't exist </t>
  </si>
  <si>
    <t>Check in Annex C the availability of material-specific value: No, value doesn't exist --&gt; Composite value doesn't exist in Annex C. But European average (Step 3) for PP-Material and E-Glassfibre-Material are available and both equal 0</t>
  </si>
  <si>
    <t>Default Value from Annex C and lit. Market research</t>
  </si>
  <si>
    <t>market and lit. Research</t>
  </si>
  <si>
    <t>a</t>
  </si>
  <si>
    <t>r1</t>
  </si>
  <si>
    <t>r2</t>
  </si>
  <si>
    <t>qs_in</t>
  </si>
  <si>
    <t>qs_out</t>
  </si>
  <si>
    <t>p1</t>
  </si>
  <si>
    <t>p2</t>
  </si>
  <si>
    <t>p3</t>
  </si>
  <si>
    <t>p4</t>
  </si>
  <si>
    <t>distribution</t>
  </si>
  <si>
    <t>qp</t>
  </si>
  <si>
    <t>triang</t>
  </si>
  <si>
    <t>truncnorm</t>
  </si>
  <si>
    <t>fixed</t>
  </si>
  <si>
    <t>industrial_floor</t>
  </si>
  <si>
    <t>composite_floor</t>
  </si>
  <si>
    <t>industrial_CCB_al</t>
  </si>
  <si>
    <t>industrial_CCB_st</t>
  </si>
  <si>
    <t>composite_CCB_al</t>
  </si>
  <si>
    <t>composite_CCB_st</t>
  </si>
  <si>
    <t>composite_CCB_cp</t>
  </si>
  <si>
    <t>CFF_param</t>
  </si>
  <si>
    <t>case_study</t>
  </si>
  <si>
    <t>R2 = 0,7 : 30% of the crushed EoL concrete presents an environmental and economic burden because it has no proper use, 70% of crushed concrete is recyclable</t>
  </si>
  <si>
    <t>Gebremariam (2020)</t>
  </si>
  <si>
    <t>0 - 0,7</t>
  </si>
  <si>
    <t>Triangular (0; 0,7; 0,7)</t>
  </si>
  <si>
    <t>Tabsh (2008)</t>
  </si>
  <si>
    <t>According to PEFCR 0,5 as there are no A factors available for carbon fibers
in the list of default values - does not relfect true balance for recycled carbon fibers, especially as large-scale carbon fiber recycling is not available today and future market developments are unknown; study explores options of A = 0,2 and 0,8 for case study of composit of polymer and carbon fiber --&gt; study explores both ends of the range but does not comment on whether a higher or lower range is more suitable for CF; study does not give insights on the offer or demand of CF, which is supposed to be represented by A - hence no usable assessment of A</t>
  </si>
  <si>
    <t>(a) A=0,2 is choosen for high quality secondary materials, which is the case for many metals, including Aluminium (b) The allocation factor for metals is set to 0,2</t>
  </si>
  <si>
    <t>(a) The Battery Pass consortium, 2023 (b) Metals for buildings, 2024</t>
  </si>
  <si>
    <t>(a) Kulczycka, Lewandowska, Joachimiak; 2024; Wolf et al, 2020 (b) IAI; Eu RIC AISBL, 2022; Bakedano et al, 2021 © Declan Conway, 2023 (d) Metals for buildings, 2024</t>
  </si>
  <si>
    <t>0,8 - 1</t>
  </si>
  <si>
    <t xml:space="preserve">(a) The quality ratio Qsin/Qp has been chosen according the value in Annex C: 1 (b)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 (c) According to Declan Conway,of the price for secondary aluminium in 2023 in europe was between 2000€ and 2200€ per ton for aluminium pressure diecasting ingot DIN226. Given that this represents approximately 80% of the primary aluminium price, Qsin can be set to 0,8. Therefor Qsin/Qp can be set to 0,8 (d) For metals, the quality is assumed to stay the same through recycling. Qsin/Qp=Qsout/Qp=1 has been set (e) For metals, the quality is assumed to stay the same through recycling. Qsin/Qp=Qsout/Qp=1 has been set </t>
  </si>
  <si>
    <t>(a) The demand of scrap is far above the supply. High Demand, low supply means low A value according to PEF Annex C A=0,2 (b) Steel demand is growing, but the availability of scrap is not growing at the same rate. Hence a scarcity of steel scrap occurs. High Demand, low supply means low A value according to PEF Annex C A=0,2</t>
  </si>
  <si>
    <t>(a) The default value of Annex C for steel of 0,2 has been used in this paper (b) A value of 0,2 has been set for A for steel in this paper © The allocation factor for metals is set to 0,2</t>
  </si>
  <si>
    <t>(a) Rydberg et al., 2023 (b) Babian, 2022 © Metals for buildings, 2024</t>
  </si>
  <si>
    <t>Qp=1,assuming: primary material has the highest quality: (a) This paper set Qp=1 (b) Qp indicates the quality of the primary aluminium. Accorcing to the London Metal Exchange, the price of primary steel was 740€ per ton in mid-February 2025 for the US. According to Jim Pritchard, the price for secondary steel in 2023 in the US was around 400€ per ton. Since the quality ratios Qsin/Qp and Qsout/Qp are derived by comparing the market price of secondary steel to that of primary steel, Qp can be set to 1 to establish a consistent benchmark for comparison</t>
  </si>
  <si>
    <t>(a) Rydberg et al., 2023 (b) LME Steel, 2025; Jim Pritchard, 2024</t>
  </si>
  <si>
    <t>The use for GF-PP is growing every year and so is the supply of recycable composite waste (a). But the demand is not as high for recycled GF-PP, because recycling end-of-life compounds results in loss of the materials properties (b) and the loss of mechanical durability  limits the reuse of recycled GF-PP for reinforcement and compromises the value position of the recycled material (c). The demand for recyceled GF-PP stays low, as most of the used GF-PP ends up in size reduction or in landfill and no esatblished method for recycling exists (c). But according to Pfisterer, Rinberg, Kroll, 2021 the automotive manufactures are increasingly trying to use recyclates. Low demand and high supply means a high A value according to PEF Report. The A value can be set from 0,5 to 0,8 because of the slightly increasing demand.</t>
  </si>
  <si>
    <t>Karuppannan Gopalraj, Kärki; 2020 (a)
Achukwu, 2023 (b)
Ginder, Ker, Ozcan; 2019 (c) 
Pfisterer, Rinberg, Kroll; 2021</t>
  </si>
  <si>
    <t>composite_CCB_allocated</t>
  </si>
  <si>
    <t>industrial_CCB_allocated</t>
  </si>
  <si>
    <t>erec_GWP</t>
  </si>
  <si>
    <t>erec_eol_GWP</t>
  </si>
  <si>
    <t>ed_GWP</t>
  </si>
  <si>
    <t>ev_GWP</t>
  </si>
  <si>
    <t>ev_star_GWP</t>
  </si>
  <si>
    <t>erec_eol_ADP_elements</t>
  </si>
  <si>
    <t>erec_ADP_elements</t>
  </si>
  <si>
    <t>ev_ADP_elements</t>
  </si>
  <si>
    <t>ev_star_ADP_elements</t>
  </si>
  <si>
    <t>erec_ADP_fossil</t>
  </si>
  <si>
    <t>erec_eol_ADP_fossil</t>
  </si>
  <si>
    <t>ev_ADP_fossil</t>
  </si>
  <si>
    <t>ev_star_ADP_fossil</t>
  </si>
  <si>
    <t>erec_AP</t>
  </si>
  <si>
    <t>erec_eol_AP</t>
  </si>
  <si>
    <t>ed_AP</t>
  </si>
  <si>
    <t>ev_AP</t>
  </si>
  <si>
    <t>ev_star_AP</t>
  </si>
  <si>
    <t>ed_ADP_fossil</t>
  </si>
  <si>
    <t>ed_ADP_elements</t>
  </si>
  <si>
    <t>erec_EP</t>
  </si>
  <si>
    <t>erec_eol_EP</t>
  </si>
  <si>
    <t>ed_EP</t>
  </si>
  <si>
    <t>ev_EP</t>
  </si>
  <si>
    <t>ev_star_EP</t>
  </si>
  <si>
    <t>erec_HTP</t>
  </si>
  <si>
    <t>erec_eol_HTP</t>
  </si>
  <si>
    <t>ed_HTP</t>
  </si>
  <si>
    <t>ev_HTP</t>
  </si>
  <si>
    <t>ev_star_HTP</t>
  </si>
  <si>
    <t>erec_ODP</t>
  </si>
  <si>
    <t>erec_eol_ODP</t>
  </si>
  <si>
    <t>ed_ODP</t>
  </si>
  <si>
    <t>ev_ODP</t>
  </si>
  <si>
    <t>ev_star_ODP</t>
  </si>
  <si>
    <t>erec_POCP</t>
  </si>
  <si>
    <t>erec_eol_POCP</t>
  </si>
  <si>
    <t>ed_POCP</t>
  </si>
  <si>
    <t>ev_POCP</t>
  </si>
  <si>
    <t>ev_star_POCP</t>
  </si>
  <si>
    <t>Default Value from Annex C and literature/ market analysis --&gt; conventional concrete is only produced with primary material -&gt; no input of recycled material</t>
  </si>
  <si>
    <t>range determined according to PEF Guide and literature analysis --&gt; value determined according to the PEF guide gives a value of 0, which according to the definition of R2 (proportion of the material in the product that will be recycled in a subsequent system) would mean that no proportion of the concrete can be recycled; the literature shows that concrete can be recycled quite well, resulting in a value determined according to the literature analysis of 0.7; although the literature indicates a fairly high recycling rate for concrete, it cannot be ruled out that only a small proportion of recyclable concrete is produced due to, for example, possibly poor concrete quality; a probability of 0% recyclable concrete is very low but not impossible - resulting in a fairly wide range for R2 for the reference product</t>
  </si>
  <si>
    <t>Assumption: Primary material  has the highest quality --&gt; Value determined according to economic approach and literature analysis
-Qsin and Qsout each represent the recycled material, Qp the primary material; to ensure the comparability of different sources, quality indicators are taken into account; the ratio to the value Qp is always calculated, whereby Qp represents 100 %; the quality ratios are shown at Qsin and Qsout
-For the economic approach, a price comparison is made between the recycled materials and the primary material; the sales prices are used to draw conclusions about the quality of the recycled materials; as part of the literature analysis, the quality is measured using the physical aspects of the materials; using the example of concrete, it is considered how the compressive strength of the concrete decreases as a result of recycling compared to the compressive strength of the primary material (Qp)</t>
  </si>
  <si>
    <t>(a) Qsin/Qp = 0,97 : price for recycling concrete C30/37 is 192 €/m3, price for concrete for industrial floor is 179 €/m3 to 204,50 €/m3, for an exposure class of XM2 and largest grain size of 32 mm price is 197 €/m3 - the prices refer to the concretes themselves and not to the aggregates, but since the concretes are produced by the same company and therefore the external conditions for the concretes are the same, it is concluded that the price difference is due to the aggregates [192/197=0,97] (b) Qsout/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(c) Qsin/ Qp = 0,83-1 : The price for R-concrete compared to conventional concrete shows a wide range. Some concrete manufacturers calculate a premium of 10 to 15 % or even 25€ per m³ additionally, which translates to around 17 %. These are a result of higher prices for recycled aggregates compared to primary aggregates. In some regions however, R-concrete is not more expensive than its primary counterpart. Especially in the German province Baden-Württemberg, the supply of recycled aggregates is such that concrete manufacturers can offer R-concrete for the same price as the conventional product. These extra costs are a product of the costly selective demolition and elaborate processing of waste material to building products - since the price for secondary concrete is higher than that of primary one the value is set equal to 1 - the study focuses on the price difference between concrete and recycled concrete; in the case of this study, the price classification is considered as the source claims that the higher price of the recycled concrete is due to the higher price of the recycled aggregate compared to virgin aggregates, thus a direct inference to the price difference between recycled aggregate and virgin aggregate is made (d) Qsin/ Qp = 0,75 : The replacement ratio of aggregates has a significant effect on the strength properties of concrete, replacement of natural aggregates with up to 25% recycled concrete aggregates does not alter the strength properties of concrete remarkably, beyond 25% aggregate replacement, the compressive strength and modulus of elasticity of RCA concrete are affected (e) Qsin/ Qp = 0,865 - 0,908 : soucre studies the effect of replacing part or all of the natural crushed limestone coarse aggregates (NCA) with recycled coarse aggregates (RCA) resulting from tested and crushed concrete cylinders in batching plants, on the plastic and hardened mechanical properties of the produced normal and high strength concrete mixes (NSC and HSC), As for the NSC hardened concrete properties, average reductions of 9.8, 13.5, 11, and 9.2% were recorded relative to the control mix in the compressive strength, splitting tensile strength, modulus of elasticity, and flexural strength values, respectively - the reference product made from conventional cocnrete is a NSC (f) Qsin/ Qp = 0,75 - 0,9 : the strength of of recycled concrete can be 10–25% lower than that of conventional concrete made with natural coarse aggregate (g) Qsin/ Qp = 0,923 : value of 1 for the use of recycled aggregates in roadbeds whereas it will have a value smaller than 1 for recycled concrete used as an aggregate (to account for modifications the concrete composition required to achieve the same compressive strength) - reduction in compressive strength from concrete with natural aggregates to concrete with aggregate from recycled concrete from 52 N/mm2 to 48 N/mm2 for w/c=0,5</t>
  </si>
  <si>
    <t>0,73 - 1</t>
  </si>
  <si>
    <t>Qsout/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t>
  </si>
  <si>
    <t>Qsout/ Qp = 0,75 - 0,9 : the strength of of recycled concrete can be 10–25% lower than that of conventional concrete made with natural coarse aggregate</t>
  </si>
  <si>
    <t xml:space="preserve">Literature/ Market Analysis (economic approach) - value determined according to economic approach and literature analysis; 
values overlap
</t>
  </si>
  <si>
    <t>0 - 0,97</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</si>
  <si>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(b) Carbon fiber: Qsin/ Qp = 0,24 - 0,44 : recycled carbon fibres and recycled carbon fibre products offer significant cost advantages; fiber costs of virgin fiber approx. 18-50€/kg, fiber costs of recycled fiber approx.  8-12€/kg 
[12/50=0,24 &amp; 8/18=0,44]; (c) Carbon fiber: Qsin/ Qp = 0,7 - 0,8 : ELG Carbon Fibre (U.K.): company’s recycled carbon fiber (RCF) products can offer from 30 to 40 percent cost savings vs. virgin carbon fiber (VCF); CFK Valley Recycling (Germany): savings of 20 to 30 percent costs with rCF compared to vCF - only german values are considerd to determine the range</t>
  </si>
  <si>
    <t>(a) Urbansky (2020) (b) ELG (2016); © Gardiner (2014)</t>
  </si>
  <si>
    <t>(a) Concrete: Qsin/ Qp = 0,731 - 0,803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Concrete: Qsin/ Qp = 1 : The price for R-concrete compared to conventional concrete shows a wide range. Some concrete manufacturers calculate a premium of 10 to 15 % or even 25€ per m³ additionally, which translates to around 17 %. These are a result of higher prices for recycled aggregates compared to primary aggregates. In some regions however, R-concrete is not more expensive than its primary counterpart. Especially in the German province Baden-Württemberg, the supply of recycled aggregates is such that concrete manufacturers can offer R-concrete for the same price as the conventional product. These extra costs are a product of the costly selective demolition and elaborate processing of waste material to building products - since the price for secondary concrete is higher than that of primary one the value is set equal to 1 - the study focuses on the price difference between concrete and recycled concrete; in the case of this study, the price classification is considered as the source claims that the higher price of the recycled concrete is due to the higher price of the recycled aggregate and thus a direct inference to the price difference between recycled aggregate and virgin aggregate is made</t>
  </si>
  <si>
    <t>(a) Uhlig (2023); (b) Sterk (2023)</t>
  </si>
  <si>
    <t>Allocation</t>
  </si>
  <si>
    <t>(a) Qsin/ Qp = 0,902 : The pyrolysis technique provides the recycled CF with high-quality properties comparable to virgin CF; Tensile strength may achieve 90.19% of vCF (b)  Qsin/ Qp = 0,643 : comparison of the mechanical properties (tensile strength) of virgin CF compared to with pyrolysis recycled CF; tensile strength of vCF= 4111MPa, rCF=2643MPa - degradation of tensile strength of 35,7% (c) Carbon fiber: Qsin/ Qp = 0,8 - 0,9 : tensile strength of recycled carbon fiber is 10 to 20 % lower compared to virgin fiber (d) Carbon fiber: Qsin/ Qp = 0,93 : the composites made with the recycled carbon fibers (rCF) tend to have poorer mechanical properties (reduced elastic modulus and tensile strength) compared to the composites made out of primary fibers; the best mechanical properties have been obtained at a pyrolysis and oxidation temperature of 500 °C, a pyrolysis time of one hour, and an oxidation time of two hours, resulting in a tensile strength of 93%</t>
  </si>
  <si>
    <t>(a) Xu (2024); (b) Emmerich (2014)  ©Gardiner (2014) (d) Backes (2022)</t>
  </si>
  <si>
    <t>(a) Concrete: Qsin/ Qp = 0,75 : The replacement ratio of aggregates has a significant effect on the strength properties of concrete, replacement of natural aggregates with up to 25% recycled concrete aggregates does not alter the strength properties of concrete remarkably, beyond 25% aggregate replacement, the compressive strength and modulus of elasticity of RCA concrete are affected (b) Concrete: Qsin/ Qp = 0,75 - 0,9 : the strength of of recycled concrete can be 10–25% lower than that of conventional concrete made with natural coarse aggregate (c) Concrete: Qsin/ Qp = 0,887 - 897 : source studies the effect of replacing part or all of the natural crushed limestone coarse aggregates (NCA) with recycled coarse aggregates (RCA) resulting from tested and crushed concrete cylinders in batching plants, on the plastic and hardened mechanical properties of the produced normal and high strength concrete mixes (NSC and HSC), The average reductions in HSC were 11, 11.3, 10.3, and 10.8%, respectively - the substitute floor made from CRC can be categorised as HSC</t>
  </si>
  <si>
    <t>(a) Thomas (2018) (b)Tabsh (2008) © Hamad (2017)</t>
  </si>
  <si>
    <t>allocation: 60,3% recycled material input of which 99,5% are recycled concrete aggregates and 0,5% are recycled carbon fiber
range for carbon fibers: 0,1 - 0,8
range for concrete: 0,73 - 1,00
1. Qsin/ Qp = 0,995*0,73+0,005*0,1 = 0,727
2. Qsin/ Qp = 0,995*1,00+0,005*0,8 = 0,999</t>
  </si>
  <si>
    <t xml:space="preserve">Truncated Normal (mean=0,85; std=0,1; min=0,73; max=1) </t>
  </si>
  <si>
    <t>The demand  for aluminium scrap is above the supply of it. According to the PEF Report, high demand low supply means A=0,2</t>
  </si>
  <si>
    <t>Wang et. Al, 2024</t>
  </si>
  <si>
    <t>(a) IAI, 2020 (b) Sean, Apelian © European Aluminium, 2020 (d )JAMA, 2024 ('e) Ehrenberger, 2020</t>
  </si>
  <si>
    <t>(a) Global Recycling Efficiency Rate of aluminium is 76% (b) The global recycling rate of aluminium in the automotive sector is 91% © The recycling erates in europe are over 90% (d) This paper set the R2 value for alumminium extrusion material in the automotive industry to 0,98 ('e) This paper set a recovery rate for aluminium in a crossbeam carrier equal to 90%.</t>
  </si>
  <si>
    <t>0,76 - 0,98</t>
  </si>
  <si>
    <t>(a) The quality ratio Qsout/Qp has been chosen according the value in Annex C: 1 (b) Qsout has been set to 1 for aluminium (c) For metals, the quality is assumed to stay the same through recycling. Qsin/Qp=Qsout/Qp=1 has been set (d) This paper set the quality ratio Qsout/Qp to 0,7 for aluminium extrusion material in the automotive industry. Qsout can be set to 0,7 ('e) Accorcing to the London Metal Exchange, the price of primary aluminium was 2,513.01€ per ton in mid-February 2025. The price of old aluminium scrap is around 1050€/t. Given that this represents approximately 42% of the primary aluminium price, Qsout can be set to 0,42. Therefor Qsout/Qp can be set to 0,42.</t>
  </si>
  <si>
    <t>(a) Wolf et al, 2020 (b) The Battery Pass consortium, 2023  ('c) Metals for buildings, 2024  (d) JAMA, 2024 ('e) LME Aluminium, 2025
Böhner, 2025</t>
  </si>
  <si>
    <t>0,42 - 1</t>
  </si>
  <si>
    <t>(a) The reccycling rate of steel is 82,2% globally (b) The recycling rate for steel in the automotive sector is about 90% © This paper set R2 for rolled-Steel-Sheet used in the automotive industry to 0,98</t>
  </si>
  <si>
    <t>(a) This paper choose 0,9 as a value for R2. This value has been derived from the application specific values for R2 in Annex C for steel that ranges between 0,85 and 0,95  (c) This paper calculated the R2 value for steel and set the value to 0,9 (d) A value of 0,81 has been set for R2 for steel in this paper</t>
  </si>
  <si>
    <t>(a) Rydberg et al., 2023  © Ungureanu et al., 2019 (d) Babian, 2022</t>
  </si>
  <si>
    <t>(a) Rolf Willeke, 2024 (b) WorldAutoSteel © JAMA, 2024</t>
  </si>
  <si>
    <t>0,81 - 0,98</t>
  </si>
  <si>
    <t>(a) Steel can be recycled over and over again. It is 100% recyclable and can be recycled into the same quality again and again. he quality of secondary steel equals the quality of primary steel. Therefor Qsin equals 1 and Qsin/Qp can be set to 1.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 (c) The recycling rate for steel in the automotive sector was 96% in 2019 in the US (c) According to Jim Pritchard, the price for secondary steel in 2023 in the US was betweenaround 400€ per ton. Given that this represents approximately 55% of the primary steel price, Qsin can be set to 0,55. Therefor Qsin/Qp can be set to 0,55. (d) Qsin/Qp ratio has been fixed to 1 for steel in this paper (e) For metals, the quality is assumed to stay the same through recycling. Qsin/Qp=Qsout/Qp=1 has been set ; Metals are eternally recyclable and don't have issues with downcycling or quality issues if the metal is properly recycled. The quality of secondary steel equals the quality of primary steel. Therefor Qsin equals 1 and Qsin/Qp can be set to 1. (f) Qsin/Qp and Qsout/Qp has been set to 1, as steel keeps the metallugircal properties when recycled. The quality of primary steel equals the quality of secondary steel. (g) According to World Steel Association, recycled steel is 25 to 50% cheaper. Qsin can therefor be set between 0,5 and 0,75. Qsin/Qp can be then set between 0,5 to 0,75. (h) This paper set Qsin=1 for steel used in the automotive industry, as it assumes that steel keeps the same quality</t>
  </si>
  <si>
    <t>(a) American Iron and Steel Institute, 2020 (b) World Steel Association, 2021 © Jim Pritchard, 2024 (d) Babian, 2022; Rydberg et al., 2023 € Metals for buildings, 2024; Eu RIC AISBL, 2022 (f) Yang et al., 2024 (g) World Steel Assocation, 2018 (h) Rydberg et al., 2023</t>
  </si>
  <si>
    <t xml:space="preserve">(a) The price of primary steel in germany is around 550€/t. The price of old steel scrap in germany is around 280€/t. Given that this represents approximately 51% of the primary steel price, Qsout can be set to 0,51. Therefor Qsout/Qp can be set to 0,51. (b) This paper assumed  that Qsout/Qp equals 0,95 for rolled-Steel sheet used in the automotive industry (d) Qsout/Qp ratio has been fixed to 1 for steel in this paper; This paper set Qsout=1 for steel used in the automotive industry, as it assumes that steel keeps the same quality (e) For metals, the quality is assumed to stay the same through recycling. Qsin/Qp=Qsout/Qp=1 has been set (f) Qsin/Qp and Qsout/Qp has been set to 1, as steel keeps the metallugircal properties when recycled. The quality ofprimary steel equals the quality of secondary steel. </t>
  </si>
  <si>
    <t>(a) Jactio, 2025; BDSV, 2024 (b) JAMA, 2024 (d) Babian, 2022; Rydberg et al., 2023 € Metals for buildings, 2024; (f) Yang et al., 2024</t>
  </si>
  <si>
    <t>0,51 - 1</t>
  </si>
  <si>
    <t>(a) The global recycling rate of GF-PP is 13%. R2 can be set to R2=0,13 (b) At the moment, GF-PP is not recycled in Germayn. R2 can be set to 0 according to this source © This paper has set R2=0,8 for composite material (d) The recycling rate of composite material in  Europe is 2%. R2 can be set to 0,02</t>
  </si>
  <si>
    <t>(a) Feng, Zhao, Xu, 2016 (b) LAGA, 2019 © Hermansson et al., 2022 (d) U.S. Commercial Service, 2022</t>
  </si>
  <si>
    <t>0 - 0,8</t>
  </si>
  <si>
    <t xml:space="preserve">Qp=1,assuming: primary material has the highest quality: (a) Qp has been set to 1 for PP (b) The initial fibers of GF-PP show the highest fibre lengths and strength. Any process of the primary material results in losses. The quality of the primary material is hence the highest and can be set to 1 (c) According to this paper, 1kg of virign composite costs around 1€/kg. Since the quality ratios Qsin/Qp and Qsout/Qp are derived by comparing the market price of secondary GF-PP to that of primary GF-PP, it can be assumed that Qp can be set to 1 to establish a consistent benchmark for comparison </t>
  </si>
  <si>
    <t>(a) The Battery Pass consortium, 2023 (b) Hansson, Larsson; 2022 © LAGA, 2019</t>
  </si>
  <si>
    <t xml:space="preserve">(a) The price of mehanical recycled fibers is about 80% of virgin ones (b)  The price of primary GF-PP is around 1€/kg. The price of with mechanical recycling recovered fibers (Qsin) is, according to Shebab et al., 2023, equal to approximately  0,3€/kg. Given that this represents approximately 30% of the primary GF-PP price, Qsin can be set to 0,3. Therefor Qsin/Qp can be set to 0,3. (c) Mechanical recycling looses approximately 22% of strength compared to the compound. Qs can be set to 0,78 and Qsin/Qp equals 0,78. (d) A decrease of the mechanical properties of the recycled GF-PP was indentified between 13,7% and 23,8% for tensile strength, after a recycling process. Qins ranges between 0,76 and 0,86. Qsin/Qp then ranges between 0,76 and 0,86. (e) This paper set the quality ratio of Qsin/Qp for recycled fibers according to the fibre strength loss. The paper assumed a loss of 18% tensile strength for the recycled composite compared to the primary quality. Qsin/Qp has therefor been set to 0,82 and Qsin can be set to 0,82. </t>
  </si>
  <si>
    <t>(a) Gonçalves, Martinho, Oliveira; 2022 (b) Shebab et al., 2023  © Gonçalves, Martinho, Oliveira; 2022 (d) Colucci et al., 2015 € Hermansson et al., 2022</t>
  </si>
  <si>
    <t>0,3 - 0,86</t>
  </si>
  <si>
    <t xml:space="preserve">(a)  The price of primary GF-PP is around 1€/kg. The price of already mechanically recycled and used GF-PP waste (Qsout) is, according to Shebab et al., 2023, equal to approximately  0,2€/kg. Given that this represents approximately 20% of the primary GF-PP price, Qsout can be set to 0,2. Therefor Qsout/Qp can be set to 0,2. (b) This study shows, that after every reprocessing step of GF-PP, fibre length as well as fibre strength is lost due to breaking of fibers in each prcoessing step. A correlation of loss in fiber length leads to a decrease in tensile strength of about 20% when secondary GF-PP undergoes another process. Compared to the values of Qsin, a quality loss of 20% would equal to a range of 28,8% to 62,4% for Qsout (c) This paper states that GF-PP already undergoes fiber damage throughout a production process. Hence the quality of the outgoing recycled material is impacted by filament strentgth degradation. This limits the recoverable quality of GF-PP after the use-phase as the tensile strength declines up to 27% during processing. Compared to the quality of the ingoing recycled material, an additional quality loss of 27% for the outgoing recycled material would set Qsout between 0,55 and 0,63. Qsout/Qp then ranges between 0,55 and 0,63. </t>
  </si>
  <si>
    <t>(a) Shebab et al., 2023 (b) Hansson, Larsson; 2022 © Ginder, Ker, Ozcan; 2019</t>
  </si>
  <si>
    <t>0,2 - 0,69</t>
  </si>
  <si>
    <t>PDF</t>
  </si>
  <si>
    <t>Fixed value (0,2) - Dirac Delta: 𝛿 (𝑥 − 0.2)</t>
  </si>
  <si>
    <t>Annex C provides an application-specific value of A = 0,2 for aluminium; High demand, low supply of secondary aluminium; Fixed by market study</t>
  </si>
  <si>
    <t>Fixed value (0) - Dirac Delta: 𝛿(𝑥)</t>
  </si>
  <si>
    <t>Market studies indicate rather high recycling rates for aluminum in automotive applications (The lowest bound (76%) represents global averages, which are not representative of the automotive sector. Most automotive-specific values are between 90% and 98%) - Truncated normal reflects real-world variability better than uniform or triangular PDFs --&gt; Truncated Normal 𝑁 (0.92, 0.03) with bounds 0.76≤R 2 ≤0.98 - Weighted mean from industry data.- Matches observed clustering (90%–98%).- Prevents biasing too much towards 98%; std=0,03 allows realistic spread, capturing deviations in recycling efficiency due to process variations.</t>
  </si>
  <si>
    <t>Uniform PDFs are assigned when all values within the range are equally likely.
Triangular PDFs are used when there is a most likely value within the range.
Truncated Normal PDF is used for asymmetry in distribution.
Dirac Delta PDFs are assigned to fixed values.</t>
  </si>
  <si>
    <t>Fixed value (1) - Dirac Delta: δ(x−1)</t>
  </si>
  <si>
    <t>Aluminium maintains high quality after recycling, with minimal degradation; Negligible quality loss in recycled aluminium (metals retain quality) -&gt; Triangular (market study indicates peak peak at 1.0): Minimal degradation occurs, meaning values cluster near 1.0.
The only cases where degradation approaches 0.8 occur when market prices indicate lower secondary material value --&gt; If a range is known and a peak (mode) is known, the triangular distribution is the least biased choice. Triangular T(0.8,1.0,1.0) (mode at 1.0, meaning most recycled aluminum is nearly primary quality).</t>
  </si>
  <si>
    <t>Triangular (0,8; 1; 1); fQsin​​(x)={(2(x−0.8)​/ (1-0.8)^2, ​0.8≤x≤1.; 0, otherwise​</t>
  </si>
  <si>
    <t xml:space="preserve">Truncated Normal (mean=0,92; std=0,03; min=0,76; max=0,98) - fR2​​(x)∝e−(x−0.92)^2/ 2(0.03)^2​,0.76≤x≤0.98 </t>
  </si>
  <si>
    <t>Aluminium maintains high quality after recycling, with minimal degradation (--&gt; Best-case scenario: Aluminum retains 100% of its quality after recycling (𝑄𝑠𝑜𝑢𝑡/𝑄𝑝=1.0); Worst-case scenario: Quality degradation leads to a reduction to 42% of primary quality (𝑄𝑠𝑜𝑢𝑡/𝑄𝑝=0.42), as suggested by scrap pricing data from the London Metal Exchange (LME). Industry-Specific Data: Most aluminum is assumed to retain full quality (1.0); For extrusion materials in automotive, a value of 0.7 is referenced; Economic factors suggest that in some cases, aluminum scrap value corresponds to 42% of primary aluminum.) --&gt; higher values are more frequent than lower values (more aluminum retains its quality) - clustering around common values (1.0 and 0.7). --&gt; Market data suggests a dominant cluster at 1.0 and a secondary cluster at 0.7, making a truncated normal (with skew towards high values) the most robust choice: Truncated Normal 𝑁(0.78,0.15), truncated at 0.42≤𝑄𝑠𝑜𝑢𝑡≤1.0 - Maximizes entropy while considering economic constraints and physical realities.</t>
  </si>
  <si>
    <t>Truncated Normal (mean=0,78; std=0,15; min=0,42; max=1)</t>
  </si>
  <si>
    <t>Fixed value (0,2); Dirac Delta δ(x−0.2)</t>
  </si>
  <si>
    <t>Annex C provides a material-specific value of A = 0.2 for aluminium; High demand, low supply of secondary steel, No variability reported; Fixed by market study</t>
  </si>
  <si>
    <t>Fixed value (0); Dirac Delta δ(x)</t>
  </si>
  <si>
    <t>Current company-specific scenario specifies no recycled input (R1 = 0); Fixed by company data, no uncertainty</t>
  </si>
  <si>
    <t>Truncated Normal (mean=0,9; std=0,07; min=0,81; max=98)</t>
  </si>
  <si>
    <t>Automotive steel recycling rate clusters around 90%-98%; Global recycling rate (82.2%) is lower, but not dominant for automotive applications --&gt; Maximum entropy under range and clustering conditions → Normal is best - Truncated Normal N(0.90,0.07); Truncated Normal was chosen over Triangular/Uniform because it best respects entropy maximization while considering real-world recycling trends - Statistical Summary: Mean 𝜇= 0.9 (0.8975)
Standard Deviation 𝜎=0.07 (0.0695). This suggests clustering near 0.90, but with variability extending from 0.81 to 0.98. --&gt; Entropy level: near max; Captures smooth clustering at 0.90, 0.98</t>
  </si>
  <si>
    <t>Fixed value (1); Dirac Delta δ(x−1)</t>
  </si>
  <si>
    <t>Truncated Normal (mean=0,8; std=0,13; min=0,5; max=1)</t>
  </si>
  <si>
    <t>Recycled steel retains full quality (no downcycling, mean value = 0,8); Steel retains its original properties after recycling, ensuring full sustainability with minimal degradation. The minimum is derived from market research, as the reliability is questionable, a truncated normal allows the value to be centred around the mean value, while still allowing some variability --&gt; Steel is mostly 100% recyclable but market-based variation exists: From the provided sources, the key reported values for Q sin are:
-1.0 (Most sources assume full recyclability); -0.55 (Market price-based value from secondary steel pricing); -0.75 (Intermediate estimate based on cost differences) --&gt; This indicates a strong clustering around 1.0 but with some observations near 0.55 based on economic factors --&gt; Maximizes entropy under known mean/variance constraints. Captures real-world clustering around 1.0.</t>
  </si>
  <si>
    <t>Truncated Normal (mean=0,82; std=0,12; min=0,51; max=1)</t>
  </si>
  <si>
    <t>Recycled steel retains full quality (no downcycling); Steel retains its original properties, ensuring full sustainability with minimal degradation. The minimum is derived from market research, as the reliability is questionable, a truncated normal allows the value to be centred around the mean value, while still allowing some variability --&gt; After incorporating all available sources while emphasizing the automotive context as the most probable, we obtain: 
Mean 0.82 Standard Deviation 0.12 -This confirms that most values cluster near 1.0, but some variation exists due to economic factors affecting secondary steel pricing --&gt; The maximum-entropy principle requires us to choose a distribution that: Respects the known range: 0.51≤Q sout ≤1.0; Represents real-world clustering: Most values are close to 0.9/1.0, but lower values occur due to economic influences; Maximizes entropy while preserving uncertainty.</t>
  </si>
  <si>
    <t>Uniform Distribution: U(0.5,0.8) is the best choice. No strong preference for any one value of A; Maximum entropy choice when only a range is known; Avoids assuming clustering we cannot justify. All values in [0.5,0.8] are equally likely.
--&gt; Justified if there's no strong clustering of values.</t>
  </si>
  <si>
    <t xml:space="preserve">Uniform (min=0,5; max=0,8); fA​(x)={1/0.8−0.5​=1/0.3​,​0.5≤x≤0.8; 0, otherwise​ </t>
  </si>
  <si>
    <t>Company data specifies no recycled composite input; No recycled GF-PP input → Fixed value.</t>
  </si>
  <si>
    <t>Truncated Normal (mean=0,4; std=0,176; min=0; max=0,8)</t>
  </si>
  <si>
    <t>GF-PP recycling varies widely (Market Insights from Literature:Global recycling rate of GF-PP is 13% → R2=0.13 (Feng, Zhao, Xu, 2016).In Germany, GF-PP is not recycled → R2=0.0 (LAGA, 2019). A paper estimates R2=0.8 for composite materials (Hermansson et al., 2022). European composite material recycling rate is 2% → R2=0.02 (U.S. Commercial Service, 2022).), best modeled with normal clustering; TR because better than uniform because some values (0.13, 0.02) are more probable, better than triangular because we lack a clear peak mode --&gt; smooth variation while respecting real-world recycling constraints.</t>
  </si>
  <si>
    <t>TN: Captures clustering near 0.76–0.86 (Market Insights from Literature: 
-Economic Perspective: Recycled GF-PP fibers are valued at approximately 30% of virgin material price → Qsin=0.3Q_{sin} = 0.3Qsin​=0.3 (Shebab et al., 2023); Some estimates suggest recycled GF-PP retains up to 80% of original quality.
-Mechanical Strength Loss: Strength loss varies between 13.7% and 23.8% → Qsin​ ranges from 0.76 to 0.86 (Colucci et al., 2015; Hermansson et al., 2022); One study assumes an 18% tensile strength reduction → Qsin=0.82Q_{sin} = 0.82Qsin​=0.82) --&gt; Better than uniform because values near 0.76–0.86 are more probable; Better than triangular because we lack a well-defined peak; Truncated normal ensures realistic distribution without biasing towards extremes.</t>
  </si>
  <si>
    <t>Truncated Normal (mean=0,58; std=0,12; min=0,36; max=0,86)</t>
  </si>
  <si>
    <t>0.2 is a lower-bound extreme case based purely on market price. Mechanical property data suggests most recycled materials fall between 0.288 and 0.624 (Market Insights from Literature: 
-Economic Perspective: The market value of recycled GF-PP waste is 20% of virgin material price → Qsout=0.2Q_{sout} = 0.2Qsout​=0.2 (Shebab et al., 2023).
-Mechanical Strength Loss Perspective: Each reprocessing step reduces fiber strength: 
20% loss in tensile strength → }Qsout​ ranges from 0.288 to 0.624 (Hansson, Larsson, 2022); 27% additional degradation in filament strength → Qsout ranges between 0.55 and 0.63 (Ginder, Ker, Ozcan, 2019).) --&gt; Truncated normal fits best, not assuming a sharp peak at 0.29-0.63 but still reflecting clustering.</t>
  </si>
  <si>
    <t>Truncated Normal (mean=0,45; std=0,12; min=0,29; max=0,69)</t>
  </si>
  <si>
    <t>uniform</t>
  </si>
  <si>
    <t xml:space="preserve"> 0.5 was chosen based on economic equilibrium considerations (Beton.org, BW, 2011, Yang, 2024, PEF Guide, Mirzaie 2020) but it is not a deterministic fixed value, minor fluctuations/ uncertainty exists in supply and demand, most values cluster around the 0,5 mean, with decreasing probability as you move away (as this is based on the Annex C default list and lit. indicates an equilibrium between offer and demand; A could be slightly higher (0.55) or slightly lower (0.45) depending on regional supply variation --&gt; A truncated normal distribution allows clustering around A = 0.5 but still considers uncertainty - Peak at 0.5 (most probable value) capturing small uncertainty without over-exaggerating spread.</t>
  </si>
  <si>
    <t>According to literature 70% of crushed concrete can be recycled, but zero recyclability is possible in some scenarios (e.g., poor-quality concrete) --&gt; High certainty toward 0.7, while allowing some (small) probability for lower recyclability cases -  Reflects strong certainty toward high recyclability</t>
  </si>
  <si>
    <t>Values range from 0,73 - 1 based on price and material propery/strength market studies, high variability, but values near 0,8 - 0.9 seem more probable.Smooth variation around 0,85 but strictly within realistic limits -Values are primarily clustered around 0.85, but minor fluctuations within the range account for material-specific uncertainties. Extreme values are avoided through truncation, ensuring realistic representation.</t>
  </si>
  <si>
    <t>Market &amp; Literature Insights: Qsout=0.48−0.803: Price-based estimation for recycled aggregates; Qsout=0.75−0.9: Strength-based estimation, considering that recycled concrete can have 10–25% lower strength. --&gt; Qsout values cluster toward the middle-to-upper range (≈0.75−0.8) --&gt; High certainty toward 0.75-0.8, with some probability spread over lower values.</t>
  </si>
  <si>
    <t>Truncated Normal (mean= 0,76 std=0,1; min=0,48 and max=1)</t>
  </si>
  <si>
    <t xml:space="preserve">Carbon Fiber Recycling: (a) R2=G138 0,8  the value is based on data for the recycling process Pyrolysis from Dong et al. (2018) (b) Carbon fiber: R2=0,4 : the value is based on the LCI Data, 41,65% of crushed carbon fiber are recovered during the recycling process Pyrolysis and 95% of these recycled CF (after Pyrolysis) are recovered during the recycling process carbon fiber cutting resulting in a recyclability of carbon fibers of 40% 
[833/2000=0,4165 -&gt; 2000kg CFRP scrap input, 833kg recycled carbon fibers output after pyrolysis] -CRC Recycling: (a) CRC scrap: R2 = 0,97 : the value is based on the LCI Data, the recycling process of crushing produces a proportion of 3% mixed residual fraction of concrete and carbon fibers that is disposed since there is no further use for this fraction -Concrete: (a) Concrete: R2 = 0,48 : the value is based on the LCI Data, the recycling process of crushing produces 97% CRC scrap of which 99% are crushed concrete; The study states that 48% of this crushed concrete can be reused for the production of new carbon concrete due to the appropriate aggregate size, the remaining portion of the crushed concrete is sorted out, but the further usage of the material is assumed - assuming that this fraction is not usable for concrete production </t>
  </si>
  <si>
    <t>(a) Hermansson, F (2022) (b) Luthin (2023); (a) Luthin (2023), Gopalraj (2020); Concrte: Luthin (2023)</t>
  </si>
  <si>
    <t>Qsout/ Qp = 1 : assumption that crushed concrete can be interchangeably used instead of virgin crushed gravel, that scenario can be considered as the closest to the actual use of crushed concrete - indicating that the quality of the concrete does not decline</t>
  </si>
  <si>
    <t>Mirzaie (2020)</t>
  </si>
  <si>
    <t>Qs/ Qp = 0,5 : as for concrete, it can be downcycled as recycled concrete aggregate (RCA); Studies have shown that RCA costs $2.40 per tonne, while natural aggregate costs $4.70 per tonne (Frondistou-Yannas, 1981) 
[2,4/4,7=0,51 ~0,5]</t>
  </si>
  <si>
    <t>Yang (2024)</t>
  </si>
  <si>
    <t>0,48 - 1</t>
  </si>
  <si>
    <r>
      <t xml:space="preserve">(a) Rennig (2023) (b) Uhlig (2023) © Sterk (2023) (d) Thomas (2018) ('e) </t>
    </r>
    <r>
      <rPr>
        <sz val="12"/>
        <color rgb="FFFF0000"/>
        <rFont val="Calibri"/>
        <family val="2"/>
        <scheme val="minor"/>
      </rPr>
      <t>Hamad (2017)</t>
    </r>
    <r>
      <rPr>
        <sz val="12"/>
        <rFont val="Calibri"/>
        <family val="2"/>
        <scheme val="minor"/>
      </rPr>
      <t xml:space="preserve"> (f) Tabsh (2008) (g) Ecra (2015)</t>
    </r>
  </si>
  <si>
    <t>allocation: 60,3% recycled material input of which 99,5% are recycled concrete aggregates and 0,5% are recycled carbon fiber
range for carbon fibers: 0,64 - 0,96
range for concrete: 0,75 - 0,90
1. Qsin/ Qp = 0,995*0,75+0,005*0,64 = 0,749
2. Qsin/ Qp = 0,995*0,90+0,005*0,96 = 0,900</t>
  </si>
  <si>
    <t>(d) Carbon fiber: Qsout/ Qp = 0,05 - 0,17: CF can be recovered from CF scrap at $1,6 - $5,5 per kg with Pyrolysis, which corresponds to 5 - 17% of the cost of virgin CF (e) Carbon fiber: Qsout/ Qp = 0,11 - 0,37 : selling price for carbon fiber scrap is 5,5 €/kg, study does not mention a price for virgin fiber to draw a percentage comparison; the price of virgin carbon fiber is around 15 - 50 €/kg [ELG(2016), Meng(2018), CarbonConcreteComposite(2017)] - resulting in a price reduction of CF scrap compared to virgin CF of 63% - 91%</t>
  </si>
  <si>
    <t>(d) Shehab (2023) € Luthin (2023)</t>
  </si>
  <si>
    <t>(a) Concrete: Qsin/ Qp = 0,48 : this price comparison results in average price savings of 19.7% - 26.9% respectively for recycled aggregates for concrete production (quality assured), selling price of not quality-assured recycled aggregates is around 48% (mean value) cheaper than the price of natural aggregates - not used for cocnrete production according to DIN EN 12620; the sales prices for non-quality-assured recycled aggregates vary greatly, one possible explanation for the high price differences between the individual non-quality-assured recycled aggregates is that they can have very different qualitative properties; The price comparison shows that RC building materials in the Dresden region are currently on average cheaper than equivalent primary building materials, with the exception of RC concrete. RC concrete is on average slightly more expensive than primary concrete by 8.5%, although recycled aggregates are on average cheaper than natural aggregates for concrete production. The higher sales prices for RC concrete can be explained by the current lack of/little experience of regional concrete manufacturers and the costs of placing it on the market for the first time in the Dresden area, uncertainties regarding a changed concrete mix design, new storage capacities for recycled aggregates and the cost of certifying RC concrete are reasons for the higher sales prices - study shows that RC concrete is more expensive than conventional concrete but clarifies that this is not due to the use of recycled aggregate, source clarifies that recycled aggregate is cheaper than virgin aggregate (b)  Qsout/ Qp = 0,23 - 0,7 : costs for crushed concrete resulting from CRC crushing compared to gravel; selling price for crushed concrete is 0,005€/kg to  0,015€/kg, costs for gravel = 0,0214€/kg 
[0,005/0,0214=0,23 &amp; 0,015/0,0214=0,70]</t>
  </si>
  <si>
    <t>(a) Uhlig (2023) (b) Luthin (2023)</t>
  </si>
  <si>
    <t>allocation: substitute product is crushed at EoL, consits of 2,5% mixed residual fraction and 97,5% CRC scrap (of which 1% are crushed carbon fibers and 99% are crushed concrete) : 
range for carbon fibers: 0,05 - 0,37
range for concrete: 0,23 - 0,7
1. Qsout/ Qp = 0,01*0,05+0,99*0,23 = 0,228
2. Qsout/ Qp = 0,01*0,37+0,99*0,70 = 0,697</t>
  </si>
  <si>
    <t xml:space="preserve">(a) Carbon fiber: Qsout/ Qp = 0,82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a tensile strength degradation of 18% for Case Pyrolysis is assumed, which corresponds to the degradation in tensile strength for recycled fibers using the fluidized bed method - ratio is only considered for Qsout and not for Qsin as the value in the case study of the source was also only used for Qsout; no assumption is made as to whether the value could also be used for Qsin (b) Carbon fiber: Qsin/ Qp = 0,96 : the process of pyrolysis is capable of retaining fibres with higher mechanical properties, this clarity of effect makes pyrolysis the most studied thermal recycling process; The authors were able to recycle carbon fiber with 96% of its original tensile strength retaining (c) Carbon fiber: Qsin/ Qp = 0,51 - 0,86 : tensile strength of recycled carbon fiber is 10 to 20 % lower compared to virgin fiber - study indicates that the tensile strength decreases by 10-20% as a result of EoL processing; compared to the quality of the ingoing secondary material an additional tensile strength loss of 10 to 20% is accounted for due to the renewed processing of the already recycled CF
[0,64*0,8=0,51 &amp; 0,96*0,9=0,86] (d) Carbon fiber: Qsout/ Qp = 0,61 - 0,92 : Fibre mechanical properties measured using single filament testing before and after pyrolysis for classification and quality control purposes; due to the processing, the CF experiences a reduction of 4% in tensile strength, compared to the ingoing secondary material, the quality drops accordingly by another 4%; study states that reclaimed carbon fibres have similar mechanical properties to the original fibres 
[0,64*0,96=0,61 &amp; 0,96*0,96=0,92]
</t>
  </si>
  <si>
    <t>(a) Hermansson (2022)  (b) Gopalraj (2020) © Gardiner (2014) (d) ELG (2016)</t>
  </si>
  <si>
    <t>(a) Concrete: Qsout/ Qp = 0,67 - 0,81 : 
source studies the effect of replacing part or all of the natural crushed limestone coarse aggregates (NCA) with recycled coarse aggregates (RCA) resulting from tested and crushed concrete cylinders in batching plants, The average reductions in HSC (high strength concrete) were 11, 11.3, 10.3, and 10.8%, respectively - the substitute floor made from CRC can be categorised as HSC - compared to the ingoing secondary material the concrete experiences a strength degradation of 10,3% - 11,3% due to the crushed concrete
[0,75*0,89=0,67 &amp; 0,9*0,9=0,81]</t>
  </si>
  <si>
    <t>(a) Hamad (2017)</t>
  </si>
  <si>
    <t>allocation: substitute product is crushed at EoL, consits of 2,5% mixed residual fraction and 97,5% CRC scrap (of which 1% are crushed carbon fibers and 99% are crushed concrete) : 
range for carbon fibers: 0,51 - 0,96
range for concrete: 0,67 - 0,81
1. Qsout/ Qp = 0,01*0,51+0,99*0,67 = 0,668
2. Qsout/ Qp = 0,01*0,96+0,99*0,81 = 0,81</t>
  </si>
  <si>
    <t>0,23 - 0,81</t>
  </si>
  <si>
    <t>Symmetric uncertainty within 0,5–0,7; no strong evidence for a "most likely" value (mode); the range of 0.5–0.7 for A is reasoned in slightly increasing supply and low-to-moderate demand for recycled composite concrete materials; No clear central value was found, and both low and high values are equally possible --&gt; Uniform Distribution U(0.5, 0.7) is chosen since it represents maximum uncertainty in the range.</t>
  </si>
  <si>
    <t>Uniform (min=0,5; max=0,8)</t>
  </si>
  <si>
    <t>Fixed value (0,6) ; Dirac Delta δ(x-0.6)</t>
  </si>
  <si>
    <t>Fixed value (1); Dirac Delta δ(x-1)</t>
  </si>
  <si>
    <t>0.97 is most likely (market evidence for specifically CRC scarp), but aggrecated and allocated values as low as 0.47 exist in literature. 0.0 is highly unlikely but technically possible. Triangular PDF captures this skewed probability. Triangular distribution maximizes entropy while aligning with real-world data.</t>
  </si>
  <si>
    <t>Triangular (0; 0,97; 0,97)</t>
  </si>
  <si>
    <t>literature shows higher values are more probable. A normal distribution best represents this with truncation.</t>
  </si>
  <si>
    <t>Truncated Normal (mean=0,85; std=0,1; min=0,73; max=0,9)</t>
  </si>
  <si>
    <t>The values near 0.67 are most probable, as price-based and material property estimations place most data points around this region.</t>
  </si>
  <si>
    <t>Truncated Normal (mean=0,67; std=0,1; min=0,23; max=0,81)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</si>
</sst>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
  </numFmts>
  <fonts count="32">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vertAlign val="subscript"/>
      <sz val="12"/>
      <color theme="1"/>
      <name val="Calibri"/>
      <family val="2"/>
      <scheme val="minor"/>
    </font>
    <font>
      <sz val="8"/>
      <color theme="1"/>
      <name val="Aptos Narrow (Textkörper)"/>
    </font>
    <font>
      <vertAlign val="subscript"/>
      <sz val="11"/>
      <color theme="1"/>
      <name val="Calibri"/>
      <family val="2"/>
      <scheme val="minor"/>
    </font>
    <font>
      <sz val="11"/>
      <color theme="4"/>
      <name val="Calibri"/>
      <family val="2"/>
      <scheme val="minor"/>
    </font>
    <font>
      <sz val="11"/>
      <color rgb="FF92D050"/>
      <name val="Calibri"/>
      <family val="2"/>
      <scheme val="minor"/>
    </font>
    <font>
      <sz val="11"/>
      <color rgb="FF000000"/>
      <name val="Calibri"/>
      <family val="2"/>
      <scheme val="minor"/>
    </font>
    <font>
      <sz val="12"/>
      <color theme="1"/>
      <name val="Calibri"/>
      <family val="2"/>
      <scheme val="minor"/>
    </font>
    <font>
      <u/>
      <sz val="11"/>
      <color theme="10"/>
      <name val="Calibri"/>
      <family val="2"/>
      <scheme val="minor"/>
    </font>
    <font>
      <b/>
      <sz val="11"/>
      <color rgb="FF000000"/>
      <name val="Calibri"/>
      <family val="2"/>
      <scheme val="minor"/>
    </font>
    <font>
      <sz val="7"/>
      <color theme="1"/>
      <name val="Times New Roman"/>
      <family val="1"/>
    </font>
    <font>
      <sz val="8"/>
      <color theme="1"/>
      <name val="Calibri"/>
      <family val="2"/>
      <scheme val="minor"/>
    </font>
    <font>
      <sz val="11"/>
      <color theme="1"/>
      <name val="Courier New"/>
      <family val="1"/>
    </font>
    <font>
      <sz val="11"/>
      <name val="Calibri"/>
      <family val="2"/>
      <scheme val="minor"/>
    </font>
    <font>
      <b/>
      <sz val="11"/>
      <name val="Calibri"/>
      <family val="2"/>
      <scheme val="minor"/>
    </font>
    <font>
      <sz val="11"/>
      <color rgb="FFFF0000"/>
      <name val="Calibri"/>
      <family val="2"/>
      <scheme val="minor"/>
    </font>
    <font>
      <sz val="12"/>
      <name val="Calibri"/>
      <family val="2"/>
      <scheme val="minor"/>
    </font>
    <font>
      <sz val="12"/>
      <color rgb="FF1B1B1B"/>
      <name val="Calibri"/>
      <family val="2"/>
      <scheme val="minor"/>
    </font>
    <font>
      <b/>
      <sz val="12"/>
      <color theme="1"/>
      <name val="Calibri"/>
      <family val="2"/>
      <scheme val="minor"/>
    </font>
    <font>
      <sz val="12"/>
      <name val="Calibri"/>
      <family val="2"/>
      <scheme val="minor"/>
    </font>
    <font>
      <sz val="12"/>
      <color rgb="FFC00000"/>
      <name val="Calibri"/>
      <family val="2"/>
      <scheme val="minor"/>
    </font>
    <font>
      <sz val="12"/>
      <color theme="2" tint="-0.249977111117893"/>
      <name val="Calibri"/>
      <family val="2"/>
      <scheme val="minor"/>
    </font>
    <font>
      <sz val="12"/>
      <color rgb="FF1C1C1C"/>
      <name val="Calibri"/>
      <family val="2"/>
      <scheme val="minor"/>
    </font>
    <font>
      <b/>
      <sz val="16"/>
      <color theme="1"/>
      <name val="Aptos Narrow (Textkörper)"/>
    </font>
    <font>
      <b/>
      <sz val="11"/>
      <color theme="0"/>
      <name val="Calibri"/>
      <family val="2"/>
      <scheme val="minor"/>
    </font>
    <font>
      <sz val="11"/>
      <color theme="0"/>
      <name val="Calibri"/>
      <family val="2"/>
      <scheme val="minor"/>
    </font>
    <font>
      <sz val="12"/>
      <color rgb="FFFF0000"/>
      <name val="Calibri"/>
      <family val="2"/>
      <scheme val="minor"/>
    </font>
  </fonts>
  <fills count="17">
    <fill>
      <patternFill patternType="none"/>
    </fill>
    <fill>
      <patternFill patternType="gray125"/>
    </fill>
    <fill>
      <patternFill patternType="solid">
        <fgColor theme="6" tint="0.39997558519241921"/>
        <bgColor indexed="65"/>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CCCCC"/>
        <bgColor indexed="64"/>
      </patternFill>
    </fill>
    <fill>
      <patternFill patternType="solid">
        <fgColor theme="3" tint="0.59999389629810485"/>
        <bgColor indexed="64"/>
      </patternFill>
    </fill>
    <fill>
      <patternFill patternType="solid">
        <fgColor theme="3"/>
        <bgColor indexed="64"/>
      </patternFill>
    </fill>
    <fill>
      <patternFill patternType="solid">
        <fgColor theme="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666666"/>
      </left>
      <right/>
      <top style="medium">
        <color rgb="FF666666"/>
      </top>
      <bottom style="thick">
        <color rgb="FF666666"/>
      </bottom>
      <diagonal/>
    </border>
    <border>
      <left/>
      <right style="double">
        <color indexed="64"/>
      </right>
      <top style="medium">
        <color rgb="FF666666"/>
      </top>
      <bottom style="thick">
        <color rgb="FF666666"/>
      </bottom>
      <diagonal/>
    </border>
    <border>
      <left/>
      <right style="medium">
        <color rgb="FF666666"/>
      </right>
      <top style="medium">
        <color rgb="FF666666"/>
      </top>
      <bottom style="thick">
        <color rgb="FF666666"/>
      </bottom>
      <diagonal/>
    </border>
    <border>
      <left style="medium">
        <color rgb="FF666666"/>
      </left>
      <right style="medium">
        <color rgb="FF666666"/>
      </right>
      <top/>
      <bottom style="medium">
        <color rgb="FF666666"/>
      </bottom>
      <diagonal/>
    </border>
    <border>
      <left/>
      <right style="double">
        <color indexed="64"/>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bottom/>
      <diagonal/>
    </border>
    <border>
      <left style="double">
        <color indexed="64"/>
      </left>
      <right/>
      <top style="medium">
        <color rgb="FF666666"/>
      </top>
      <bottom style="thick">
        <color rgb="FF666666"/>
      </bottom>
      <diagonal/>
    </border>
    <border>
      <left style="medium">
        <color rgb="FF666666"/>
      </left>
      <right style="medium">
        <color rgb="FF666666"/>
      </right>
      <top style="medium">
        <color rgb="FF666666"/>
      </top>
      <bottom/>
      <diagonal/>
    </border>
    <border>
      <left style="medium">
        <color rgb="FF666666"/>
      </left>
      <right style="double">
        <color indexed="64"/>
      </right>
      <top style="medium">
        <color rgb="FF666666"/>
      </top>
      <bottom/>
      <diagonal/>
    </border>
    <border>
      <left style="medium">
        <color rgb="FF666666"/>
      </left>
      <right style="double">
        <color indexed="64"/>
      </right>
      <top/>
      <bottom/>
      <diagonal/>
    </border>
    <border>
      <left style="medium">
        <color rgb="FF666666"/>
      </left>
      <right style="double">
        <color indexed="64"/>
      </right>
      <top/>
      <bottom style="medium">
        <color rgb="FF66666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5"/>
      </right>
      <top/>
      <bottom/>
      <diagonal/>
    </border>
    <border>
      <left style="medium">
        <color theme="5"/>
      </left>
      <right style="thin">
        <color indexed="64"/>
      </right>
      <top style="medium">
        <color theme="5"/>
      </top>
      <bottom/>
      <diagonal/>
    </border>
    <border>
      <left style="thin">
        <color indexed="64"/>
      </left>
      <right style="thin">
        <color indexed="64"/>
      </right>
      <top style="medium">
        <color theme="5"/>
      </top>
      <bottom style="thin">
        <color indexed="64"/>
      </bottom>
      <diagonal/>
    </border>
    <border>
      <left style="thin">
        <color indexed="64"/>
      </left>
      <right style="medium">
        <color theme="5"/>
      </right>
      <top style="medium">
        <color theme="5"/>
      </top>
      <bottom style="thin">
        <color indexed="64"/>
      </bottom>
      <diagonal/>
    </border>
    <border>
      <left style="medium">
        <color theme="5"/>
      </left>
      <right style="thin">
        <color indexed="64"/>
      </right>
      <top/>
      <bottom/>
      <diagonal/>
    </border>
    <border>
      <left style="thin">
        <color indexed="64"/>
      </left>
      <right style="medium">
        <color theme="5"/>
      </right>
      <top style="thin">
        <color indexed="64"/>
      </top>
      <bottom style="thin">
        <color indexed="64"/>
      </bottom>
      <diagonal/>
    </border>
    <border>
      <left style="medium">
        <color theme="5"/>
      </left>
      <right style="thin">
        <color indexed="64"/>
      </right>
      <top/>
      <bottom style="medium">
        <color theme="5"/>
      </bottom>
      <diagonal/>
    </border>
    <border>
      <left style="thin">
        <color indexed="64"/>
      </left>
      <right style="thin">
        <color indexed="64"/>
      </right>
      <top style="thin">
        <color indexed="64"/>
      </top>
      <bottom style="medium">
        <color theme="5"/>
      </bottom>
      <diagonal/>
    </border>
    <border>
      <left style="thin">
        <color indexed="64"/>
      </left>
      <right style="medium">
        <color theme="5"/>
      </right>
      <top style="thin">
        <color indexed="64"/>
      </top>
      <bottom style="medium">
        <color theme="5"/>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theme="0" tint="-0.499984740745262"/>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30" fillId="9" borderId="0" applyNumberFormat="0" applyBorder="0" applyAlignment="0" applyProtection="0"/>
  </cellStyleXfs>
  <cellXfs count="329">
    <xf numFmtId="0" fontId="0" fillId="0" borderId="0" xfId="0"/>
    <xf numFmtId="0" fontId="0" fillId="0" borderId="1" xfId="0" applyBorder="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xf>
    <xf numFmtId="0" fontId="9" fillId="0" borderId="0" xfId="0" applyFont="1"/>
    <xf numFmtId="0" fontId="10" fillId="0" borderId="0" xfId="0" applyFont="1"/>
    <xf numFmtId="0" fontId="11" fillId="0" borderId="2" xfId="0" applyFont="1" applyBorder="1" applyAlignment="1">
      <alignment horizontal="center"/>
    </xf>
    <xf numFmtId="0" fontId="11" fillId="0" borderId="5" xfId="0" applyFont="1" applyBorder="1" applyAlignment="1">
      <alignment horizontal="center"/>
    </xf>
    <xf numFmtId="0" fontId="13" fillId="0" borderId="0" xfId="2"/>
    <xf numFmtId="164" fontId="0" fillId="0" borderId="0" xfId="0" applyNumberFormat="1" applyAlignment="1">
      <alignment horizontal="left" vertical="center"/>
    </xf>
    <xf numFmtId="0" fontId="3" fillId="0" borderId="0" xfId="0" applyFont="1"/>
    <xf numFmtId="0" fontId="0" fillId="0" borderId="12" xfId="0" applyBorder="1" applyAlignment="1">
      <alignment horizontal="center" vertical="center"/>
    </xf>
    <xf numFmtId="0" fontId="0" fillId="0" borderId="10" xfId="0" applyBorder="1" applyAlignment="1">
      <alignment vertical="top"/>
    </xf>
    <xf numFmtId="0" fontId="0" fillId="0" borderId="16" xfId="0" applyBorder="1" applyAlignment="1">
      <alignment vertical="top"/>
    </xf>
    <xf numFmtId="0" fontId="2" fillId="0" borderId="22" xfId="0" applyFont="1" applyBorder="1" applyAlignment="1">
      <alignment vertical="top"/>
    </xf>
    <xf numFmtId="0" fontId="0" fillId="0" borderId="0" xfId="0" applyAlignment="1">
      <alignment vertical="top" wrapText="1"/>
    </xf>
    <xf numFmtId="0" fontId="0" fillId="0" borderId="15" xfId="0" applyBorder="1" applyAlignment="1">
      <alignment vertical="top" wrapText="1"/>
    </xf>
    <xf numFmtId="0" fontId="5" fillId="0" borderId="19" xfId="0" applyFont="1" applyBorder="1"/>
    <xf numFmtId="0" fontId="0" fillId="0" borderId="21" xfId="0" applyBorder="1"/>
    <xf numFmtId="0" fontId="5" fillId="3" borderId="38" xfId="0" applyFont="1" applyFill="1" applyBorder="1"/>
    <xf numFmtId="0" fontId="0" fillId="3" borderId="28" xfId="0" applyFill="1" applyBorder="1"/>
    <xf numFmtId="0" fontId="0" fillId="0" borderId="1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11" fillId="6" borderId="44" xfId="0" applyFont="1" applyFill="1" applyBorder="1" applyAlignment="1">
      <alignment horizontal="left" vertical="top" wrapText="1"/>
    </xf>
    <xf numFmtId="0" fontId="11" fillId="6" borderId="45" xfId="0" applyFont="1" applyFill="1" applyBorder="1" applyAlignment="1">
      <alignment horizontal="left" vertical="top" wrapText="1"/>
    </xf>
    <xf numFmtId="0" fontId="11" fillId="6" borderId="46" xfId="0" applyFont="1" applyFill="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0" fillId="0" borderId="24" xfId="0" applyBorder="1"/>
    <xf numFmtId="0" fontId="2" fillId="0" borderId="53" xfId="0" applyFont="1" applyBorder="1"/>
    <xf numFmtId="0" fontId="0" fillId="0" borderId="1" xfId="0" applyBorder="1" applyAlignment="1">
      <alignment horizontal="left" vertical="top"/>
    </xf>
    <xf numFmtId="0" fontId="17" fillId="0" borderId="1" xfId="0" applyFont="1"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2" fillId="2" borderId="1" xfId="1" applyFont="1" applyBorder="1" applyAlignment="1">
      <alignment horizontal="left" vertical="top"/>
    </xf>
    <xf numFmtId="0" fontId="2" fillId="0" borderId="1" xfId="0" applyFont="1" applyBorder="1" applyAlignment="1">
      <alignment horizontal="left" vertical="top"/>
    </xf>
    <xf numFmtId="0" fontId="0" fillId="2" borderId="1" xfId="1" applyFont="1" applyBorder="1" applyAlignment="1">
      <alignment vertical="center" wrapText="1"/>
    </xf>
    <xf numFmtId="0" fontId="0" fillId="2" borderId="1" xfId="1" applyFont="1" applyBorder="1" applyAlignment="1">
      <alignment horizontal="left" vertical="top" wrapText="1"/>
    </xf>
    <xf numFmtId="0" fontId="2" fillId="0" borderId="1" xfId="0" applyFont="1" applyBorder="1"/>
    <xf numFmtId="0" fontId="11" fillId="0" borderId="1" xfId="0" applyFont="1" applyBorder="1" applyAlignment="1">
      <alignment horizontal="left" vertical="top" wrapText="1"/>
    </xf>
    <xf numFmtId="11" fontId="0" fillId="0" borderId="1" xfId="0" applyNumberFormat="1" applyBorder="1"/>
    <xf numFmtId="0" fontId="0" fillId="0" borderId="1" xfId="0" applyBorder="1" applyAlignment="1">
      <alignment vertical="top" wrapText="1"/>
    </xf>
    <xf numFmtId="0" fontId="2" fillId="0" borderId="0" xfId="0" applyFont="1"/>
    <xf numFmtId="0" fontId="2" fillId="0" borderId="0" xfId="3" applyFont="1" applyFill="1" applyBorder="1" applyAlignment="1"/>
    <xf numFmtId="0" fontId="0" fillId="0" borderId="0" xfId="0" applyAlignment="1">
      <alignment horizontal="left" vertical="top"/>
    </xf>
    <xf numFmtId="0" fontId="1" fillId="0" borderId="0" xfId="1" applyFill="1" applyBorder="1" applyAlignment="1">
      <alignment horizontal="left" vertical="top" wrapText="1"/>
    </xf>
    <xf numFmtId="0" fontId="0" fillId="0" borderId="55" xfId="0" applyBorder="1" applyAlignment="1">
      <alignment horizontal="left" vertical="top"/>
    </xf>
    <xf numFmtId="0" fontId="0" fillId="0" borderId="39" xfId="0" applyBorder="1" applyAlignment="1">
      <alignment vertical="top" wrapText="1"/>
    </xf>
    <xf numFmtId="0" fontId="0" fillId="0" borderId="39"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vertical="top" wrapText="1"/>
    </xf>
    <xf numFmtId="0" fontId="18" fillId="0" borderId="1" xfId="0" applyFont="1" applyBorder="1" applyAlignment="1">
      <alignment horizontal="left" vertical="top"/>
    </xf>
    <xf numFmtId="165" fontId="18" fillId="0" borderId="1" xfId="0" applyNumberFormat="1" applyFont="1" applyBorder="1"/>
    <xf numFmtId="11" fontId="18" fillId="0" borderId="1" xfId="0" applyNumberFormat="1" applyFont="1" applyBorder="1"/>
    <xf numFmtId="0" fontId="18"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vertical="top"/>
    </xf>
    <xf numFmtId="0" fontId="11" fillId="6" borderId="47" xfId="0" applyFont="1" applyFill="1" applyBorder="1" applyAlignment="1">
      <alignment horizontal="left" vertical="top" wrapText="1"/>
    </xf>
    <xf numFmtId="0" fontId="11" fillId="6" borderId="58" xfId="0" applyFont="1" applyFill="1" applyBorder="1" applyAlignment="1">
      <alignment horizontal="left" vertical="top" wrapText="1"/>
    </xf>
    <xf numFmtId="0" fontId="14" fillId="6" borderId="44" xfId="0" applyFont="1" applyFill="1" applyBorder="1" applyAlignment="1">
      <alignment horizontal="left" vertical="top" wrapText="1"/>
    </xf>
    <xf numFmtId="0" fontId="14" fillId="6" borderId="45" xfId="0" applyFont="1" applyFill="1" applyBorder="1" applyAlignment="1">
      <alignment horizontal="left" vertical="top" wrapText="1"/>
    </xf>
    <xf numFmtId="0" fontId="14" fillId="6" borderId="46" xfId="0" applyFont="1" applyFill="1" applyBorder="1" applyAlignment="1">
      <alignment horizontal="left" vertical="top" wrapText="1"/>
    </xf>
    <xf numFmtId="0" fontId="18" fillId="0" borderId="0" xfId="0" applyFont="1" applyAlignment="1">
      <alignment horizontal="left" vertical="top" wrapText="1"/>
    </xf>
    <xf numFmtId="0" fontId="18" fillId="0" borderId="54" xfId="0" applyFont="1" applyBorder="1" applyAlignment="1">
      <alignment horizontal="left" vertical="top" wrapText="1"/>
    </xf>
    <xf numFmtId="0" fontId="14" fillId="6" borderId="0" xfId="0" applyFont="1" applyFill="1" applyAlignment="1">
      <alignment horizontal="left" vertical="top" wrapText="1"/>
    </xf>
    <xf numFmtId="0" fontId="18" fillId="0" borderId="39" xfId="0" applyFont="1" applyBorder="1" applyAlignment="1">
      <alignment horizontal="left" vertical="top" wrapText="1"/>
    </xf>
    <xf numFmtId="0" fontId="18" fillId="0" borderId="54" xfId="0" applyFont="1" applyBorder="1" applyAlignment="1">
      <alignment horizontal="left" vertical="top"/>
    </xf>
    <xf numFmtId="0" fontId="18" fillId="0" borderId="3" xfId="0" applyFont="1" applyBorder="1" applyAlignment="1">
      <alignment horizontal="left" vertical="top" wrapText="1"/>
    </xf>
    <xf numFmtId="0" fontId="0" fillId="0" borderId="16" xfId="0" applyBorder="1"/>
    <xf numFmtId="0" fontId="2" fillId="0" borderId="56" xfId="0" applyFont="1" applyBorder="1"/>
    <xf numFmtId="0" fontId="2" fillId="0" borderId="6" xfId="0" applyFont="1" applyBorder="1"/>
    <xf numFmtId="0" fontId="18" fillId="0" borderId="1" xfId="0" applyFont="1" applyBorder="1" applyAlignment="1">
      <alignment vertical="top" wrapText="1"/>
    </xf>
    <xf numFmtId="0" fontId="18" fillId="0" borderId="1" xfId="0" quotePrefix="1" applyFont="1" applyBorder="1" applyAlignment="1">
      <alignment horizontal="left" vertical="top" wrapText="1"/>
    </xf>
    <xf numFmtId="0" fontId="20"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23" fillId="0" borderId="0" xfId="0" applyFont="1"/>
    <xf numFmtId="0" fontId="0" fillId="0" borderId="1" xfId="0" applyBorder="1" applyAlignment="1">
      <alignment horizontal="center" vertical="top" wrapText="1"/>
    </xf>
    <xf numFmtId="0" fontId="0" fillId="0" borderId="0" xfId="0" applyAlignment="1">
      <alignment horizontal="right"/>
    </xf>
    <xf numFmtId="49" fontId="0" fillId="0" borderId="0" xfId="0" applyNumberFormat="1" applyAlignment="1">
      <alignment horizontal="right"/>
    </xf>
    <xf numFmtId="164" fontId="0" fillId="0" borderId="0" xfId="0" applyNumberFormat="1" applyAlignment="1">
      <alignment horizontal="center"/>
    </xf>
    <xf numFmtId="0" fontId="0" fillId="3" borderId="1" xfId="0" applyFill="1" applyBorder="1" applyAlignment="1">
      <alignment vertical="top" wrapText="1"/>
    </xf>
    <xf numFmtId="0" fontId="0" fillId="0" borderId="0" xfId="0" applyAlignment="1">
      <alignment horizontal="center" vertical="top" wrapText="1"/>
    </xf>
    <xf numFmtId="0" fontId="0" fillId="0" borderId="0" xfId="0" applyAlignment="1">
      <alignment vertical="top"/>
    </xf>
    <xf numFmtId="0" fontId="24" fillId="0" borderId="0" xfId="0" applyFont="1"/>
    <xf numFmtId="0" fontId="25" fillId="0" borderId="0" xfId="0" applyFont="1"/>
    <xf numFmtId="0" fontId="26" fillId="0" borderId="0" xfId="0" applyFont="1"/>
    <xf numFmtId="0" fontId="23" fillId="0" borderId="0" xfId="0" applyFont="1" applyAlignment="1">
      <alignment vertical="center"/>
    </xf>
    <xf numFmtId="0" fontId="27" fillId="0" borderId="0" xfId="0" applyFont="1"/>
    <xf numFmtId="49" fontId="0" fillId="0" borderId="0" xfId="0" applyNumberFormat="1" applyAlignment="1">
      <alignment horizontal="center"/>
    </xf>
    <xf numFmtId="2" fontId="0" fillId="0" borderId="0" xfId="0" applyNumberFormat="1" applyAlignment="1">
      <alignment horizontal="center"/>
    </xf>
    <xf numFmtId="0" fontId="0" fillId="0" borderId="65" xfId="0" applyBorder="1"/>
    <xf numFmtId="0" fontId="0" fillId="3" borderId="67" xfId="0" applyFill="1" applyBorder="1" applyAlignment="1">
      <alignment vertical="top"/>
    </xf>
    <xf numFmtId="0" fontId="0" fillId="3" borderId="68" xfId="0" applyFill="1" applyBorder="1" applyAlignment="1">
      <alignment horizontal="center" vertical="top" wrapText="1"/>
    </xf>
    <xf numFmtId="0" fontId="0" fillId="0" borderId="70" xfId="0" applyBorder="1" applyAlignment="1">
      <alignment horizontal="center" vertical="top" wrapText="1"/>
    </xf>
    <xf numFmtId="0" fontId="0" fillId="3" borderId="72" xfId="0" applyFill="1" applyBorder="1" applyAlignment="1">
      <alignment vertical="top" wrapText="1"/>
    </xf>
    <xf numFmtId="0" fontId="0" fillId="3" borderId="73" xfId="0" applyFill="1" applyBorder="1" applyAlignment="1">
      <alignment horizontal="center" vertical="top" wrapText="1"/>
    </xf>
    <xf numFmtId="0" fontId="28" fillId="0" borderId="0" xfId="0" applyFont="1"/>
    <xf numFmtId="0" fontId="19" fillId="0" borderId="0" xfId="3" applyFont="1" applyFill="1" applyBorder="1" applyAlignment="1"/>
    <xf numFmtId="0" fontId="20" fillId="0" borderId="0" xfId="0" applyFont="1"/>
    <xf numFmtId="0" fontId="19" fillId="4" borderId="1" xfId="3" applyFont="1" applyBorder="1" applyAlignment="1">
      <alignment horizontal="center" vertical="top" wrapText="1"/>
    </xf>
    <xf numFmtId="0" fontId="18" fillId="0" borderId="56" xfId="0" applyFont="1" applyBorder="1" applyAlignment="1">
      <alignment horizontal="left" vertical="top" wrapText="1"/>
    </xf>
    <xf numFmtId="0" fontId="0" fillId="0" borderId="1" xfId="1" applyFont="1" applyFill="1" applyBorder="1" applyAlignment="1">
      <alignment horizontal="left" vertical="top" wrapText="1"/>
    </xf>
    <xf numFmtId="0" fontId="0" fillId="0" borderId="39" xfId="1" applyFont="1" applyFill="1" applyBorder="1" applyAlignment="1">
      <alignment horizontal="center" vertical="top"/>
    </xf>
    <xf numFmtId="0" fontId="2" fillId="0" borderId="0" xfId="0" applyFont="1" applyAlignment="1">
      <alignment horizontal="left" vertical="top"/>
    </xf>
    <xf numFmtId="0" fontId="0" fillId="0" borderId="2" xfId="1" applyFont="1" applyFill="1" applyBorder="1" applyAlignment="1">
      <alignment horizontal="center" vertical="top"/>
    </xf>
    <xf numFmtId="11" fontId="0" fillId="0" borderId="1" xfId="0" applyNumberFormat="1" applyBorder="1" applyAlignment="1">
      <alignment vertical="top"/>
    </xf>
    <xf numFmtId="11" fontId="18" fillId="0" borderId="1" xfId="0" applyNumberFormat="1" applyFont="1" applyBorder="1" applyAlignment="1">
      <alignment vertical="top"/>
    </xf>
    <xf numFmtId="0" fontId="0" fillId="0" borderId="56" xfId="0" applyBorder="1"/>
    <xf numFmtId="11" fontId="0" fillId="0" borderId="1" xfId="0" applyNumberFormat="1" applyBorder="1" applyAlignment="1">
      <alignment vertical="center"/>
    </xf>
    <xf numFmtId="0" fontId="11" fillId="0" borderId="1" xfId="0" applyFont="1" applyBorder="1" applyAlignment="1">
      <alignment horizontal="left" vertical="top"/>
    </xf>
    <xf numFmtId="0" fontId="19" fillId="0" borderId="0" xfId="0" applyFont="1"/>
    <xf numFmtId="0" fontId="29" fillId="8" borderId="1" xfId="0" applyFont="1" applyFill="1" applyBorder="1"/>
    <xf numFmtId="0" fontId="2" fillId="7" borderId="1" xfId="0" applyFont="1" applyFill="1" applyBorder="1" applyAlignment="1">
      <alignment horizontal="left" vertical="top"/>
    </xf>
    <xf numFmtId="0" fontId="0" fillId="3" borderId="1" xfId="0" applyFill="1" applyBorder="1" applyAlignment="1">
      <alignment horizontal="left" vertical="top" wrapText="1"/>
    </xf>
    <xf numFmtId="0" fontId="0" fillId="3" borderId="39" xfId="0" applyFill="1" applyBorder="1" applyAlignment="1">
      <alignment vertical="top" wrapText="1"/>
    </xf>
    <xf numFmtId="0" fontId="0" fillId="3" borderId="55" xfId="0" applyFill="1" applyBorder="1" applyAlignment="1">
      <alignment vertical="top" wrapText="1"/>
    </xf>
    <xf numFmtId="0" fontId="0" fillId="3" borderId="1" xfId="0" applyFill="1" applyBorder="1" applyAlignment="1">
      <alignment wrapText="1"/>
    </xf>
    <xf numFmtId="0" fontId="0" fillId="3" borderId="1" xfId="0" applyFill="1" applyBorder="1"/>
    <xf numFmtId="0" fontId="0" fillId="3" borderId="55" xfId="0" applyFill="1" applyBorder="1" applyAlignment="1">
      <alignment horizontal="left" vertical="top" wrapText="1"/>
    </xf>
    <xf numFmtId="0" fontId="20" fillId="0" borderId="0" xfId="0" applyFont="1" applyAlignment="1">
      <alignment horizontal="left" vertical="top" wrapText="1"/>
    </xf>
    <xf numFmtId="0" fontId="18" fillId="0" borderId="56" xfId="0" applyFont="1" applyBorder="1"/>
    <xf numFmtId="0" fontId="2" fillId="10" borderId="78" xfId="5" applyFont="1" applyFill="1" applyBorder="1"/>
    <xf numFmtId="0" fontId="2" fillId="0" borderId="0" xfId="4" applyFont="1" applyFill="1" applyBorder="1" applyAlignment="1"/>
    <xf numFmtId="0" fontId="2" fillId="10" borderId="78" xfId="1" applyFont="1" applyFill="1" applyBorder="1"/>
    <xf numFmtId="9" fontId="0" fillId="10" borderId="78" xfId="0" applyNumberFormat="1" applyFill="1" applyBorder="1" applyAlignment="1">
      <alignment horizontal="left" vertical="top"/>
    </xf>
    <xf numFmtId="0" fontId="0" fillId="7" borderId="1" xfId="0" applyFill="1" applyBorder="1" applyAlignment="1">
      <alignment horizontal="left" vertical="top"/>
    </xf>
    <xf numFmtId="166" fontId="0" fillId="10" borderId="78" xfId="0" applyNumberFormat="1" applyFill="1" applyBorder="1" applyAlignment="1">
      <alignment horizontal="left" vertical="top"/>
    </xf>
    <xf numFmtId="0" fontId="0" fillId="7" borderId="1" xfId="0" quotePrefix="1" applyFill="1" applyBorder="1" applyAlignment="1">
      <alignment horizontal="left" vertical="top"/>
    </xf>
    <xf numFmtId="0" fontId="2" fillId="7" borderId="56" xfId="0" applyFont="1" applyFill="1" applyBorder="1"/>
    <xf numFmtId="0" fontId="0" fillId="0" borderId="1" xfId="0" applyBorder="1" applyAlignment="1">
      <alignment wrapText="1"/>
    </xf>
    <xf numFmtId="0" fontId="0" fillId="3" borderId="1" xfId="0" applyFill="1" applyBorder="1" applyAlignment="1">
      <alignment horizontal="left" vertical="top"/>
    </xf>
    <xf numFmtId="0" fontId="0" fillId="0" borderId="0" xfId="0" quotePrefix="1" applyAlignment="1">
      <alignment vertical="top" wrapText="1"/>
    </xf>
    <xf numFmtId="0" fontId="18" fillId="0" borderId="39" xfId="0" applyFont="1" applyBorder="1" applyAlignment="1">
      <alignment vertical="top" wrapText="1"/>
    </xf>
    <xf numFmtId="0" fontId="22" fillId="0" borderId="0" xfId="0" applyFont="1" applyAlignment="1">
      <alignment horizontal="left" vertical="top" wrapText="1"/>
    </xf>
    <xf numFmtId="0" fontId="20" fillId="0" borderId="1" xfId="0" quotePrefix="1" applyFont="1" applyBorder="1" applyAlignment="1">
      <alignment horizontal="left" vertical="top" wrapText="1"/>
    </xf>
    <xf numFmtId="0" fontId="0" fillId="0" borderId="56" xfId="0" applyBorder="1" applyAlignment="1">
      <alignment vertical="top" wrapText="1"/>
    </xf>
    <xf numFmtId="0" fontId="0" fillId="3" borderId="75" xfId="0" applyFill="1" applyBorder="1" applyAlignment="1">
      <alignment vertical="top" wrapText="1"/>
    </xf>
    <xf numFmtId="0" fontId="0" fillId="3" borderId="82" xfId="0" applyFill="1" applyBorder="1" applyAlignment="1">
      <alignment vertical="top" wrapText="1"/>
    </xf>
    <xf numFmtId="0" fontId="0" fillId="3" borderId="77" xfId="0" applyFill="1" applyBorder="1" applyAlignment="1">
      <alignment vertical="top" wrapText="1"/>
    </xf>
    <xf numFmtId="0" fontId="0" fillId="11" borderId="1" xfId="0" applyFill="1" applyBorder="1"/>
    <xf numFmtId="165" fontId="18" fillId="11" borderId="1" xfId="0" applyNumberFormat="1" applyFont="1" applyFill="1" applyBorder="1"/>
    <xf numFmtId="11" fontId="18" fillId="11" borderId="1" xfId="0" applyNumberFormat="1" applyFont="1" applyFill="1" applyBorder="1"/>
    <xf numFmtId="11" fontId="0" fillId="11" borderId="1" xfId="0" applyNumberFormat="1" applyFill="1" applyBorder="1"/>
    <xf numFmtId="11" fontId="18" fillId="11" borderId="1" xfId="0" applyNumberFormat="1" applyFont="1" applyFill="1" applyBorder="1" applyAlignment="1">
      <alignment vertical="top"/>
    </xf>
    <xf numFmtId="11" fontId="0" fillId="11" borderId="1" xfId="0" applyNumberFormat="1" applyFill="1" applyBorder="1" applyAlignment="1">
      <alignment vertical="center"/>
    </xf>
    <xf numFmtId="11" fontId="0" fillId="0" borderId="0" xfId="0" applyNumberFormat="1"/>
    <xf numFmtId="0" fontId="0" fillId="11" borderId="0" xfId="0" applyFill="1"/>
    <xf numFmtId="0" fontId="0" fillId="12" borderId="1" xfId="0" applyFill="1" applyBorder="1" applyAlignment="1">
      <alignment horizontal="left" vertical="top" wrapText="1"/>
    </xf>
    <xf numFmtId="11" fontId="0" fillId="12" borderId="1" xfId="0" applyNumberFormat="1" applyFill="1" applyBorder="1"/>
    <xf numFmtId="11" fontId="18" fillId="12" borderId="1" xfId="0" applyNumberFormat="1" applyFont="1" applyFill="1" applyBorder="1"/>
    <xf numFmtId="0" fontId="2" fillId="13" borderId="0" xfId="0" applyFont="1" applyFill="1"/>
    <xf numFmtId="0" fontId="2" fillId="14" borderId="0" xfId="0" applyFont="1" applyFill="1"/>
    <xf numFmtId="0" fontId="0" fillId="15" borderId="0" xfId="0" applyFill="1" applyAlignment="1">
      <alignment vertical="top" wrapText="1"/>
    </xf>
    <xf numFmtId="0" fontId="18" fillId="16" borderId="39" xfId="0" applyFont="1" applyFill="1" applyBorder="1" applyAlignment="1">
      <alignment horizontal="left" vertical="top" wrapText="1"/>
    </xf>
    <xf numFmtId="0" fontId="0" fillId="16" borderId="1" xfId="0" applyFill="1" applyBorder="1" applyAlignment="1">
      <alignment horizontal="left" vertical="top" wrapText="1"/>
    </xf>
    <xf numFmtId="0" fontId="3" fillId="0" borderId="0" xfId="0" applyFont="1" applyAlignment="1">
      <alignment horizontal="left"/>
    </xf>
    <xf numFmtId="0" fontId="12" fillId="3" borderId="26" xfId="0" applyFont="1" applyFill="1" applyBorder="1" applyAlignment="1">
      <alignment horizontal="left"/>
    </xf>
    <xf numFmtId="0" fontId="5" fillId="3" borderId="37" xfId="0" applyFont="1" applyFill="1" applyBorder="1" applyAlignment="1">
      <alignment horizontal="left"/>
    </xf>
    <xf numFmtId="0" fontId="12" fillId="0" borderId="17"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2" fillId="10" borderId="22" xfId="4" applyFont="1" applyFill="1" applyBorder="1" applyAlignment="1">
      <alignment horizontal="center"/>
    </xf>
    <xf numFmtId="0" fontId="2" fillId="10" borderId="23" xfId="4" applyFont="1" applyFill="1" applyBorder="1" applyAlignment="1">
      <alignment horizontal="center"/>
    </xf>
    <xf numFmtId="0" fontId="2" fillId="10" borderId="24" xfId="4" applyFont="1" applyFill="1" applyBorder="1" applyAlignment="1">
      <alignment horizontal="center"/>
    </xf>
    <xf numFmtId="0" fontId="19" fillId="10" borderId="22" xfId="3" applyFont="1" applyFill="1" applyBorder="1" applyAlignment="1">
      <alignment horizontal="center"/>
    </xf>
    <xf numFmtId="0" fontId="19" fillId="10" borderId="23" xfId="3" applyFont="1" applyFill="1" applyBorder="1" applyAlignment="1">
      <alignment horizontal="center"/>
    </xf>
    <xf numFmtId="0" fontId="19" fillId="10" borderId="24" xfId="3" applyFont="1" applyFill="1" applyBorder="1" applyAlignment="1">
      <alignment horizontal="center"/>
    </xf>
    <xf numFmtId="0" fontId="19" fillId="10" borderId="53" xfId="3" applyFont="1" applyFill="1" applyBorder="1" applyAlignment="1">
      <alignment horizontal="center"/>
    </xf>
    <xf numFmtId="0" fontId="2" fillId="10" borderId="79" xfId="3" applyFont="1" applyFill="1" applyBorder="1" applyAlignment="1">
      <alignment horizontal="center"/>
    </xf>
    <xf numFmtId="0" fontId="2" fillId="10" borderId="80" xfId="3" applyFont="1" applyFill="1" applyBorder="1" applyAlignment="1">
      <alignment horizontal="center"/>
    </xf>
    <xf numFmtId="0" fontId="0" fillId="3" borderId="54" xfId="0" applyFill="1" applyBorder="1" applyAlignment="1">
      <alignment horizontal="left" vertical="top" wrapText="1"/>
    </xf>
    <xf numFmtId="0" fontId="0" fillId="3" borderId="56" xfId="0" applyFill="1" applyBorder="1" applyAlignment="1">
      <alignment horizontal="left" vertical="top" wrapText="1"/>
    </xf>
    <xf numFmtId="0" fontId="0" fillId="7" borderId="54" xfId="0" applyFill="1" applyBorder="1" applyAlignment="1">
      <alignment horizontal="left" vertical="top"/>
    </xf>
    <xf numFmtId="0" fontId="0" fillId="7" borderId="56" xfId="0" applyFill="1" applyBorder="1" applyAlignment="1">
      <alignment horizontal="left" vertical="top"/>
    </xf>
    <xf numFmtId="0" fontId="0" fillId="0" borderId="54" xfId="0" applyBorder="1" applyAlignment="1">
      <alignment vertical="top"/>
    </xf>
    <xf numFmtId="0" fontId="0" fillId="0" borderId="56" xfId="0" applyBorder="1" applyAlignment="1">
      <alignment vertical="top"/>
    </xf>
    <xf numFmtId="0" fontId="0" fillId="0" borderId="54" xfId="0" applyBorder="1" applyAlignment="1">
      <alignment horizontal="left" vertical="top" wrapText="1"/>
    </xf>
    <xf numFmtId="0" fontId="0" fillId="0" borderId="56" xfId="0" applyBorder="1" applyAlignment="1">
      <alignment horizontal="left" vertical="top" wrapText="1"/>
    </xf>
    <xf numFmtId="0" fontId="19" fillId="10" borderId="81" xfId="3" applyFont="1" applyFill="1" applyBorder="1" applyAlignment="1">
      <alignment horizontal="center"/>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10"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1"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5" xfId="0" applyBorder="1" applyAlignment="1">
      <alignment horizontal="left"/>
    </xf>
    <xf numFmtId="0" fontId="0" fillId="0" borderId="4" xfId="0" applyBorder="1" applyAlignment="1">
      <alignment horizontal="left"/>
    </xf>
    <xf numFmtId="0" fontId="0" fillId="0" borderId="19" xfId="0" applyBorder="1" applyAlignment="1">
      <alignment horizontal="left" vertical="top" wrapText="1"/>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 fillId="2" borderId="29" xfId="1" applyBorder="1" applyAlignment="1">
      <alignment horizontal="center"/>
    </xf>
    <xf numFmtId="0" fontId="1" fillId="2" borderId="30" xfId="1" applyBorder="1" applyAlignment="1">
      <alignment horizontal="center"/>
    </xf>
    <xf numFmtId="0" fontId="1" fillId="2" borderId="31" xfId="1" applyBorder="1" applyAlignment="1">
      <alignment horizontal="center"/>
    </xf>
    <xf numFmtId="0" fontId="0" fillId="0" borderId="13" xfId="0" applyBorder="1" applyAlignment="1">
      <alignment horizontal="center"/>
    </xf>
    <xf numFmtId="0" fontId="0" fillId="0" borderId="3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3" xfId="0" applyBorder="1" applyAlignment="1">
      <alignment horizontal="left" vertical="top"/>
    </xf>
    <xf numFmtId="0" fontId="0" fillId="0" borderId="34" xfId="0" applyBorder="1" applyAlignment="1">
      <alignment horizontal="left" vertical="top"/>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1" fillId="2" borderId="12" xfId="1" applyBorder="1" applyAlignment="1">
      <alignment horizontal="center"/>
    </xf>
    <xf numFmtId="0" fontId="1" fillId="2" borderId="1" xfId="1" applyBorder="1" applyAlignment="1">
      <alignment horizontal="center"/>
    </xf>
    <xf numFmtId="0" fontId="1" fillId="2" borderId="13" xfId="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2" fillId="0" borderId="39" xfId="0" applyFont="1" applyBorder="1" applyAlignment="1">
      <alignment horizontal="left" vertical="top"/>
    </xf>
    <xf numFmtId="0" fontId="2" fillId="0" borderId="2" xfId="0" applyFont="1" applyBorder="1" applyAlignment="1">
      <alignment horizontal="left" vertical="top"/>
    </xf>
    <xf numFmtId="0" fontId="0" fillId="3" borderId="54" xfId="0" applyFill="1" applyBorder="1" applyAlignment="1">
      <alignment horizontal="left" vertical="top"/>
    </xf>
    <xf numFmtId="0" fontId="0" fillId="3" borderId="56" xfId="0" applyFill="1" applyBorder="1" applyAlignment="1">
      <alignment horizontal="left" vertical="top"/>
    </xf>
    <xf numFmtId="0" fontId="2" fillId="0" borderId="39" xfId="0" applyFont="1" applyBorder="1" applyAlignment="1">
      <alignment horizontal="center"/>
    </xf>
    <xf numFmtId="0" fontId="2" fillId="0" borderId="2" xfId="0" applyFont="1" applyBorder="1" applyAlignment="1">
      <alignment horizontal="center"/>
    </xf>
    <xf numFmtId="0" fontId="0" fillId="3" borderId="57" xfId="0" applyFill="1" applyBorder="1" applyAlignment="1">
      <alignment horizontal="left" vertical="top"/>
    </xf>
    <xf numFmtId="0" fontId="0" fillId="3" borderId="57" xfId="0" applyFill="1" applyBorder="1" applyAlignment="1">
      <alignment horizontal="left" vertical="top" wrapText="1"/>
    </xf>
    <xf numFmtId="0" fontId="2" fillId="4" borderId="1" xfId="3" applyFont="1" applyBorder="1" applyAlignment="1">
      <alignment horizontal="center"/>
    </xf>
    <xf numFmtId="0" fontId="2" fillId="4" borderId="1" xfId="3" applyFont="1" applyBorder="1" applyAlignment="1">
      <alignment horizontal="center" vertical="top" wrapText="1"/>
    </xf>
    <xf numFmtId="0" fontId="0" fillId="0" borderId="1" xfId="0" applyBorder="1" applyAlignment="1">
      <alignment horizontal="left" vertical="top" wrapText="1"/>
    </xf>
    <xf numFmtId="0" fontId="0" fillId="2" borderId="1" xfId="1" applyFont="1" applyBorder="1" applyAlignment="1">
      <alignment horizontal="left" vertical="top"/>
    </xf>
    <xf numFmtId="0" fontId="1" fillId="2" borderId="1" xfId="1" applyBorder="1" applyAlignment="1">
      <alignment horizontal="left" vertical="top"/>
    </xf>
    <xf numFmtId="0" fontId="1" fillId="2" borderId="1" xfId="1" applyBorder="1" applyAlignment="1">
      <alignment horizontal="left" vertical="top" wrapText="1"/>
    </xf>
    <xf numFmtId="0" fontId="19" fillId="4" borderId="1" xfId="3" applyFont="1" applyBorder="1" applyAlignment="1">
      <alignment horizontal="center" vertical="top" wrapText="1"/>
    </xf>
    <xf numFmtId="0" fontId="0" fillId="0" borderId="39"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xf>
    <xf numFmtId="0" fontId="14" fillId="0" borderId="41" xfId="0" applyFont="1" applyBorder="1" applyAlignment="1">
      <alignment horizontal="left" vertical="top" wrapText="1"/>
    </xf>
    <xf numFmtId="0" fontId="14" fillId="0" borderId="42" xfId="0" applyFont="1" applyBorder="1" applyAlignment="1">
      <alignment horizontal="left" vertical="top" wrapText="1"/>
    </xf>
    <xf numFmtId="0" fontId="14" fillId="0" borderId="48" xfId="0" applyFont="1" applyBorder="1" applyAlignment="1">
      <alignment horizontal="left" vertical="top" wrapText="1"/>
    </xf>
    <xf numFmtId="0" fontId="14" fillId="0" borderId="43" xfId="0" applyFont="1" applyBorder="1" applyAlignment="1">
      <alignment horizontal="left"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44"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2" fillId="5" borderId="29" xfId="4" applyFont="1" applyBorder="1" applyAlignment="1">
      <alignment horizontal="center"/>
    </xf>
    <xf numFmtId="0" fontId="2" fillId="5" borderId="30" xfId="4" applyFont="1" applyBorder="1" applyAlignment="1">
      <alignment horizontal="center"/>
    </xf>
    <xf numFmtId="0" fontId="2" fillId="5" borderId="31" xfId="4" applyFont="1" applyBorder="1" applyAlignment="1">
      <alignment horizontal="center"/>
    </xf>
    <xf numFmtId="0" fontId="2" fillId="2" borderId="1" xfId="1" applyFont="1" applyBorder="1" applyAlignment="1">
      <alignment horizontal="left" vertical="top"/>
    </xf>
    <xf numFmtId="0" fontId="16" fillId="0" borderId="1" xfId="0" applyFont="1" applyBorder="1" applyAlignment="1">
      <alignment horizontal="left" vertical="top" wrapText="1"/>
    </xf>
    <xf numFmtId="0" fontId="19" fillId="4" borderId="1" xfId="3" applyFont="1" applyBorder="1" applyAlignment="1">
      <alignment horizontal="center"/>
    </xf>
    <xf numFmtId="0" fontId="0" fillId="3" borderId="54" xfId="0" applyFill="1" applyBorder="1" applyAlignment="1">
      <alignment horizontal="center" vertical="top"/>
    </xf>
    <xf numFmtId="0" fontId="0" fillId="3" borderId="57" xfId="0" applyFill="1" applyBorder="1" applyAlignment="1">
      <alignment horizontal="center" vertical="top"/>
    </xf>
    <xf numFmtId="0" fontId="0" fillId="3" borderId="56" xfId="0" applyFill="1" applyBorder="1" applyAlignment="1">
      <alignment horizontal="center" vertical="top"/>
    </xf>
    <xf numFmtId="0" fontId="0" fillId="3" borderId="54" xfId="0" applyFill="1" applyBorder="1" applyAlignment="1">
      <alignment horizontal="center" vertical="top" wrapText="1"/>
    </xf>
    <xf numFmtId="0" fontId="0" fillId="3" borderId="57" xfId="0" applyFill="1" applyBorder="1" applyAlignment="1">
      <alignment horizontal="center" vertical="top" wrapText="1"/>
    </xf>
    <xf numFmtId="0" fontId="0" fillId="3" borderId="56" xfId="0" applyFill="1" applyBorder="1" applyAlignment="1">
      <alignment horizontal="center" vertical="top" wrapText="1"/>
    </xf>
    <xf numFmtId="0" fontId="2" fillId="7" borderId="54" xfId="0" applyFont="1" applyFill="1" applyBorder="1" applyAlignment="1">
      <alignment horizontal="left" vertical="top"/>
    </xf>
    <xf numFmtId="0" fontId="2" fillId="7" borderId="57" xfId="0" applyFont="1" applyFill="1" applyBorder="1" applyAlignment="1">
      <alignment horizontal="left" vertical="top"/>
    </xf>
    <xf numFmtId="0" fontId="2" fillId="7" borderId="56" xfId="0" applyFont="1" applyFill="1" applyBorder="1" applyAlignment="1">
      <alignment horizontal="left" vertical="top"/>
    </xf>
    <xf numFmtId="0" fontId="0" fillId="0" borderId="39" xfId="1" applyFont="1" applyFill="1" applyBorder="1" applyAlignment="1">
      <alignment horizontal="center" vertical="top"/>
    </xf>
    <xf numFmtId="0" fontId="0" fillId="0" borderId="2" xfId="1" applyFont="1" applyFill="1" applyBorder="1" applyAlignment="1">
      <alignment horizontal="center" vertical="top"/>
    </xf>
    <xf numFmtId="0" fontId="0" fillId="0" borderId="39" xfId="0" applyBorder="1" applyAlignment="1">
      <alignment horizontal="left" vertical="top"/>
    </xf>
    <xf numFmtId="0" fontId="0" fillId="0" borderId="2" xfId="0" applyBorder="1" applyAlignment="1">
      <alignment horizontal="left" vertical="top"/>
    </xf>
    <xf numFmtId="0" fontId="20" fillId="0" borderId="54" xfId="0" applyFont="1" applyBorder="1" applyAlignment="1">
      <alignment horizontal="left" vertical="top"/>
    </xf>
    <xf numFmtId="0" fontId="20" fillId="0" borderId="57" xfId="0" applyFont="1" applyBorder="1" applyAlignment="1">
      <alignment horizontal="left" vertical="top"/>
    </xf>
    <xf numFmtId="0" fontId="20" fillId="0" borderId="56" xfId="0" applyFont="1" applyBorder="1" applyAlignment="1">
      <alignment horizontal="left" vertical="top"/>
    </xf>
    <xf numFmtId="0" fontId="0" fillId="0" borderId="74" xfId="0" applyBorder="1" applyAlignment="1">
      <alignment horizontal="left" vertical="top" wrapText="1"/>
    </xf>
    <xf numFmtId="0" fontId="0" fillId="0" borderId="75"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0" borderId="54" xfId="0" applyBorder="1" applyAlignment="1">
      <alignment horizontal="left" vertical="top"/>
    </xf>
    <xf numFmtId="0" fontId="0" fillId="0" borderId="56" xfId="0" applyBorder="1" applyAlignment="1">
      <alignment horizontal="left" vertical="top"/>
    </xf>
    <xf numFmtId="0" fontId="19" fillId="7" borderId="54" xfId="0" applyFont="1" applyFill="1" applyBorder="1" applyAlignment="1">
      <alignment horizontal="left" vertical="top" wrapText="1"/>
    </xf>
    <xf numFmtId="0" fontId="19" fillId="7" borderId="56" xfId="0" applyFont="1" applyFill="1" applyBorder="1" applyAlignment="1">
      <alignment horizontal="left" vertical="top" wrapText="1"/>
    </xf>
    <xf numFmtId="0" fontId="0" fillId="0" borderId="54" xfId="0" applyBorder="1" applyAlignment="1">
      <alignment vertical="top" wrapText="1"/>
    </xf>
    <xf numFmtId="0" fontId="0" fillId="0" borderId="56" xfId="0" applyBorder="1" applyAlignment="1">
      <alignment vertical="top" wrapText="1"/>
    </xf>
    <xf numFmtId="0" fontId="11" fillId="0" borderId="59" xfId="0" applyFont="1" applyBorder="1" applyAlignment="1">
      <alignment horizontal="left" vertical="top" wrapText="1"/>
    </xf>
    <xf numFmtId="0" fontId="11" fillId="0" borderId="60" xfId="0" applyFont="1" applyBorder="1" applyAlignment="1">
      <alignment horizontal="left" vertical="top" wrapText="1"/>
    </xf>
    <xf numFmtId="0" fontId="11" fillId="0" borderId="61" xfId="0" applyFont="1" applyBorder="1" applyAlignment="1">
      <alignment horizontal="left" vertical="top" wrapText="1"/>
    </xf>
    <xf numFmtId="0" fontId="2" fillId="2" borderId="62" xfId="1" applyFont="1" applyBorder="1" applyAlignment="1">
      <alignment horizontal="center" vertical="top"/>
    </xf>
    <xf numFmtId="0" fontId="2" fillId="2" borderId="63" xfId="1" applyFont="1" applyBorder="1" applyAlignment="1">
      <alignment horizontal="center" vertical="top"/>
    </xf>
    <xf numFmtId="0" fontId="2" fillId="2" borderId="64" xfId="1" applyFont="1" applyBorder="1" applyAlignment="1">
      <alignment horizontal="center" vertical="top"/>
    </xf>
    <xf numFmtId="0" fontId="18" fillId="0" borderId="54" xfId="0" applyFont="1" applyBorder="1" applyAlignment="1">
      <alignment horizontal="left" vertical="top" wrapText="1"/>
    </xf>
    <xf numFmtId="0" fontId="18" fillId="0" borderId="56" xfId="0" applyFont="1" applyBorder="1" applyAlignment="1">
      <alignment horizontal="left" vertical="top" wrapText="1"/>
    </xf>
    <xf numFmtId="0" fontId="18" fillId="0" borderId="33" xfId="0" applyFont="1" applyBorder="1" applyAlignment="1">
      <alignment horizontal="left" vertical="top" wrapText="1"/>
    </xf>
    <xf numFmtId="0" fontId="19" fillId="0" borderId="33" xfId="0" applyFont="1" applyBorder="1" applyAlignment="1">
      <alignment horizontal="left" vertical="top" wrapText="1"/>
    </xf>
    <xf numFmtId="0" fontId="2" fillId="2" borderId="62" xfId="1" applyFont="1" applyBorder="1" applyAlignment="1">
      <alignment horizontal="left" vertical="top" wrapText="1"/>
    </xf>
    <xf numFmtId="0" fontId="2" fillId="2" borderId="63" xfId="1" applyFont="1" applyBorder="1" applyAlignment="1">
      <alignment horizontal="left" vertical="top" wrapText="1"/>
    </xf>
    <xf numFmtId="0" fontId="0" fillId="0" borderId="57" xfId="0" applyBorder="1" applyAlignment="1">
      <alignment horizontal="left" vertical="top" wrapText="1"/>
    </xf>
    <xf numFmtId="0" fontId="0" fillId="0" borderId="57" xfId="0" applyBorder="1" applyAlignment="1">
      <alignment horizontal="left" vertical="top"/>
    </xf>
    <xf numFmtId="0" fontId="20" fillId="0" borderId="1" xfId="0" applyFont="1" applyBorder="1" applyAlignment="1">
      <alignment horizontal="left" vertical="top"/>
    </xf>
    <xf numFmtId="0" fontId="20" fillId="0" borderId="54" xfId="0" applyFont="1" applyBorder="1" applyAlignment="1">
      <alignment horizontal="left" vertical="top" wrapText="1"/>
    </xf>
    <xf numFmtId="0" fontId="20" fillId="0" borderId="57" xfId="0" applyFont="1" applyBorder="1" applyAlignment="1">
      <alignment horizontal="left" vertical="top" wrapText="1"/>
    </xf>
    <xf numFmtId="0" fontId="20" fillId="0" borderId="56" xfId="0" applyFont="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18" fillId="0" borderId="54" xfId="0" quotePrefix="1" applyFont="1" applyBorder="1" applyAlignment="1">
      <alignment horizontal="left" vertical="top" wrapText="1"/>
    </xf>
    <xf numFmtId="0" fontId="0" fillId="0" borderId="66" xfId="0" applyBorder="1" applyAlignment="1">
      <alignment horizontal="center" vertical="top" wrapText="1"/>
    </xf>
    <xf numFmtId="0" fontId="0" fillId="0" borderId="69" xfId="0" applyBorder="1" applyAlignment="1">
      <alignment horizontal="center" vertical="top" wrapText="1"/>
    </xf>
    <xf numFmtId="0" fontId="0" fillId="0" borderId="71" xfId="0" applyBorder="1" applyAlignment="1">
      <alignment horizontal="center" vertical="top" wrapText="1"/>
    </xf>
    <xf numFmtId="0" fontId="0" fillId="0" borderId="15" xfId="0" applyBorder="1" applyAlignment="1">
      <alignment horizontal="center" vertical="top" wrapText="1"/>
    </xf>
  </cellXfs>
  <cellStyles count="6">
    <cellStyle name="20% - Accent1" xfId="3" builtinId="30"/>
    <cellStyle name="60% - Accent1" xfId="4" builtinId="32"/>
    <cellStyle name="60% - Accent3" xfId="1" builtinId="40"/>
    <cellStyle name="Accent1" xfId="5"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8</xdr:col>
      <xdr:colOff>276226</xdr:colOff>
      <xdr:row>12</xdr:row>
      <xdr:rowOff>24013</xdr:rowOff>
    </xdr:to>
    <xdr:pic>
      <xdr:nvPicPr>
        <xdr:cNvPr id="2" name="image24.png">
          <a:extLst>
            <a:ext uri="{FF2B5EF4-FFF2-40B4-BE49-F238E27FC236}">
              <a16:creationId xmlns:a16="http://schemas.microsoft.com/office/drawing/2014/main" id="{817BAE88-E127-4189-897B-5573C4444103}"/>
            </a:ext>
          </a:extLst>
        </xdr:cNvPr>
        <xdr:cNvPicPr/>
      </xdr:nvPicPr>
      <xdr:blipFill>
        <a:blip xmlns:r="http://schemas.openxmlformats.org/officeDocument/2006/relationships" r:embed="rId1" cstate="print"/>
        <a:srcRect/>
        <a:stretch>
          <a:fillRect/>
        </a:stretch>
      </xdr:blipFill>
      <xdr:spPr>
        <a:xfrm>
          <a:off x="781050" y="600075"/>
          <a:ext cx="5829301" cy="1905000"/>
        </a:xfrm>
        <a:prstGeom prst="rect">
          <a:avLst/>
        </a:prstGeom>
        <a:solidFill>
          <a:sysClr val="window" lastClr="FFFFFF"/>
        </a:solidFill>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0</xdr:col>
      <xdr:colOff>752475</xdr:colOff>
      <xdr:row>12</xdr:row>
      <xdr:rowOff>161925</xdr:rowOff>
    </xdr:from>
    <xdr:to>
      <xdr:col>11</xdr:col>
      <xdr:colOff>238126</xdr:colOff>
      <xdr:row>36</xdr:row>
      <xdr:rowOff>142875</xdr:rowOff>
    </xdr:to>
    <xdr:sp macro="" textlink="">
      <xdr:nvSpPr>
        <xdr:cNvPr id="3" name="TextBox 3">
          <a:extLst>
            <a:ext uri="{FF2B5EF4-FFF2-40B4-BE49-F238E27FC236}">
              <a16:creationId xmlns:a16="http://schemas.microsoft.com/office/drawing/2014/main" id="{DD80BFC8-368F-4BDD-A1F2-3F35ECD22284}"/>
            </a:ext>
          </a:extLst>
        </xdr:cNvPr>
        <xdr:cNvSpPr txBox="1"/>
      </xdr:nvSpPr>
      <xdr:spPr>
        <a:xfrm>
          <a:off x="752475" y="2638425"/>
          <a:ext cx="7867651"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100" b="1">
              <a:solidFill>
                <a:schemeClr val="dk1"/>
              </a:solidFill>
              <a:effectLst/>
              <a:latin typeface="+mn-lt"/>
              <a:ea typeface="+mn-ea"/>
              <a:cs typeface="+mn-cs"/>
            </a:rPr>
            <a:t>The parameters of the Circular Footprint Formula :</a:t>
          </a:r>
        </a:p>
        <a:p>
          <a:pPr lvl="0" algn="l"/>
          <a:r>
            <a:rPr lang="en-GB" sz="1100" b="1">
              <a:solidFill>
                <a:schemeClr val="dk1"/>
              </a:solidFill>
              <a:effectLst/>
              <a:latin typeface="+mn-lt"/>
              <a:ea typeface="+mn-ea"/>
              <a:cs typeface="+mn-cs"/>
            </a:rPr>
            <a:t>A:</a:t>
          </a:r>
          <a:r>
            <a:rPr lang="en-GB" sz="1100">
              <a:solidFill>
                <a:schemeClr val="dk1"/>
              </a:solidFill>
              <a:effectLst/>
              <a:latin typeface="+mn-lt"/>
              <a:ea typeface="+mn-ea"/>
              <a:cs typeface="+mn-cs"/>
            </a:rPr>
            <a:t> allocation factor of burdens and credits between supplier and user of recycled materials.</a:t>
          </a:r>
        </a:p>
        <a:p>
          <a:r>
            <a:rPr lang="en-GB" sz="1100" b="1">
              <a:solidFill>
                <a:schemeClr val="dk1"/>
              </a:solidFill>
              <a:effectLst/>
              <a:latin typeface="+mn-lt"/>
              <a:ea typeface="+mn-ea"/>
              <a:cs typeface="+mn-cs"/>
            </a:rPr>
            <a:t>B:</a:t>
          </a:r>
          <a:r>
            <a:rPr lang="en-GB" sz="1100">
              <a:solidFill>
                <a:schemeClr val="dk1"/>
              </a:solidFill>
              <a:effectLst/>
              <a:latin typeface="+mn-lt"/>
              <a:ea typeface="+mn-ea"/>
              <a:cs typeface="+mn-cs"/>
            </a:rPr>
            <a:t> allocation factor of energy recovery processes: it applies both to burdens and credits.</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in</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ingoing secondary material, i.e. the quality of the recycled material at the point of substitution.</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out</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outgoing secondary material, i.e. the quality of the recyclable material at the point of substitution.</a:t>
          </a:r>
        </a:p>
        <a:p>
          <a:r>
            <a:rPr lang="en-GB" sz="1100" b="1">
              <a:solidFill>
                <a:schemeClr val="dk1"/>
              </a:solidFill>
              <a:effectLst/>
              <a:latin typeface="+mn-lt"/>
              <a:ea typeface="+mn-ea"/>
              <a:cs typeface="+mn-cs"/>
            </a:rPr>
            <a:t>Q</a:t>
          </a:r>
          <a:r>
            <a:rPr lang="en-GB" sz="1100" b="1" baseline="-25000">
              <a:solidFill>
                <a:schemeClr val="dk1"/>
              </a:solidFill>
              <a:effectLst/>
              <a:latin typeface="+mn-lt"/>
              <a:ea typeface="+mn-ea"/>
              <a:cs typeface="+mn-cs"/>
            </a:rPr>
            <a:t>p</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primary material, i.e. quality of the virgin material.</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1</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material in the input to the production that has been recycled from a previous system.</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2</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will be recycled (or reused) in a subsequent system. R2 shall therefore take into account the inefficiencies in the collection and recycling (or reuse) processes. R2 shall be measured at the output of the recycling plant.</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3</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is used for energy recovery at EoL.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recycled</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of the recycled (reused) material,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recyclingEoL</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recEoL</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at EoL,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 assumed to be substituted by recyclable materials.</a:t>
          </a:r>
        </a:p>
        <a:p>
          <a:r>
            <a:rPr lang="en-GB" sz="1100" b="1">
              <a:solidFill>
                <a:schemeClr val="dk1"/>
              </a:solidFill>
              <a:effectLst/>
              <a:latin typeface="+mn-lt"/>
              <a:ea typeface="+mn-ea"/>
              <a:cs typeface="+mn-cs"/>
            </a:rPr>
            <a:t>EER:</a:t>
          </a:r>
          <a:r>
            <a:rPr lang="en-GB" sz="1100">
              <a:solidFill>
                <a:schemeClr val="dk1"/>
              </a:solidFill>
              <a:effectLst/>
              <a:latin typeface="+mn-lt"/>
              <a:ea typeface="+mn-ea"/>
              <a:cs typeface="+mn-cs"/>
            </a:rPr>
            <a:t> specific emissions and resources consumed (per unit of analysis) arising from the energy recovery process (e.g. incineration with energy recovery, landfill with energy recovery, …).</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SE,heat </a:t>
          </a:r>
          <a:r>
            <a:rPr lang="en-GB" sz="1100" b="1">
              <a:solidFill>
                <a:schemeClr val="dk1"/>
              </a:solidFill>
              <a:effectLst/>
              <a:latin typeface="+mn-lt"/>
              <a:ea typeface="+mn-ea"/>
              <a:cs typeface="+mn-cs"/>
            </a:rPr>
            <a:t>and E</a:t>
          </a:r>
          <a:r>
            <a:rPr lang="en-GB" sz="1100" b="1" baseline="-25000">
              <a:solidFill>
                <a:schemeClr val="dk1"/>
              </a:solidFill>
              <a:effectLst/>
              <a:latin typeface="+mn-lt"/>
              <a:ea typeface="+mn-ea"/>
              <a:cs typeface="+mn-cs"/>
            </a:rPr>
            <a:t>SE,elec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that would have arisen from the specific substituted energy source, heat and electricity respectively.</a:t>
          </a:r>
        </a:p>
        <a:p>
          <a:r>
            <a:rPr lang="en-GB" sz="1100" b="1">
              <a:solidFill>
                <a:schemeClr val="dk1"/>
              </a:solidFill>
              <a:effectLst/>
              <a:latin typeface="+mn-lt"/>
              <a:ea typeface="+mn-ea"/>
              <a:cs typeface="+mn-cs"/>
            </a:rPr>
            <a:t>ED:</a:t>
          </a:r>
          <a:r>
            <a:rPr lang="en-GB" sz="1100">
              <a:solidFill>
                <a:schemeClr val="dk1"/>
              </a:solidFill>
              <a:effectLst/>
              <a:latin typeface="+mn-lt"/>
              <a:ea typeface="+mn-ea"/>
              <a:cs typeface="+mn-cs"/>
            </a:rPr>
            <a:t> specific emissions and resources consumed (per unit of analysis) arising from disposal of waste material at the EoL of the analysed product, without energy recovery.</a:t>
          </a:r>
        </a:p>
        <a:p>
          <a:r>
            <a:rPr lang="en-GB" sz="1100" b="1">
              <a:solidFill>
                <a:schemeClr val="dk1"/>
              </a:solidFill>
              <a:effectLst/>
              <a:latin typeface="+mn-lt"/>
              <a:ea typeface="+mn-ea"/>
              <a:cs typeface="+mn-cs"/>
            </a:rPr>
            <a:t>X</a:t>
          </a:r>
          <a:r>
            <a:rPr lang="en-GB" sz="1100" b="1" baseline="-25000">
              <a:solidFill>
                <a:schemeClr val="dk1"/>
              </a:solidFill>
              <a:effectLst/>
              <a:latin typeface="+mn-lt"/>
              <a:ea typeface="+mn-ea"/>
              <a:cs typeface="+mn-cs"/>
            </a:rPr>
            <a:t>ER,heat</a:t>
          </a:r>
          <a:r>
            <a:rPr lang="en-GB" sz="1100" b="1">
              <a:solidFill>
                <a:schemeClr val="dk1"/>
              </a:solidFill>
              <a:effectLst/>
              <a:latin typeface="+mn-lt"/>
              <a:ea typeface="+mn-ea"/>
              <a:cs typeface="+mn-cs"/>
            </a:rPr>
            <a:t> and X</a:t>
          </a:r>
          <a:r>
            <a:rPr lang="en-GB" sz="1100" b="1" baseline="-25000">
              <a:solidFill>
                <a:schemeClr val="dk1"/>
              </a:solidFill>
              <a:effectLst/>
              <a:latin typeface="+mn-lt"/>
              <a:ea typeface="+mn-ea"/>
              <a:cs typeface="+mn-cs"/>
            </a:rPr>
            <a:t>ER,elec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the efficiency of the energy recovery process for both heat and electricity.</a:t>
          </a:r>
        </a:p>
        <a:p>
          <a:r>
            <a:rPr lang="en-GB" sz="1100" b="1">
              <a:solidFill>
                <a:schemeClr val="dk1"/>
              </a:solidFill>
              <a:effectLst/>
              <a:latin typeface="+mn-lt"/>
              <a:ea typeface="+mn-ea"/>
              <a:cs typeface="+mn-cs"/>
            </a:rPr>
            <a:t>LHV:</a:t>
          </a:r>
          <a:r>
            <a:rPr lang="en-GB" sz="1100">
              <a:solidFill>
                <a:schemeClr val="dk1"/>
              </a:solidFill>
              <a:effectLst/>
              <a:latin typeface="+mn-lt"/>
              <a:ea typeface="+mn-ea"/>
              <a:cs typeface="+mn-cs"/>
            </a:rPr>
            <a:t> Lower Heating Value of the material in the product that is used for energy recovery.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47624</xdr:colOff>
      <xdr:row>18</xdr:row>
      <xdr:rowOff>66183</xdr:rowOff>
    </xdr:from>
    <xdr:to>
      <xdr:col>13</xdr:col>
      <xdr:colOff>192691</xdr:colOff>
      <xdr:row>32</xdr:row>
      <xdr:rowOff>198958</xdr:rowOff>
    </xdr:to>
    <xdr:pic>
      <xdr:nvPicPr>
        <xdr:cNvPr id="3" name="Grafik 2">
          <a:extLst>
            <a:ext uri="{FF2B5EF4-FFF2-40B4-BE49-F238E27FC236}">
              <a16:creationId xmlns:a16="http://schemas.microsoft.com/office/drawing/2014/main" id="{C03D86EA-84FD-487E-AD87-8FD381FF769A}"/>
            </a:ext>
          </a:extLst>
        </xdr:cNvPr>
        <xdr:cNvPicPr>
          <a:picLocks noChangeAspect="1"/>
        </xdr:cNvPicPr>
      </xdr:nvPicPr>
      <xdr:blipFill>
        <a:blip xmlns:r="http://schemas.openxmlformats.org/officeDocument/2006/relationships" r:embed="rId1"/>
        <a:stretch>
          <a:fillRect/>
        </a:stretch>
      </xdr:blipFill>
      <xdr:spPr>
        <a:xfrm>
          <a:off x="8000999" y="5076333"/>
          <a:ext cx="4810125" cy="341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4</xdr:row>
      <xdr:rowOff>38100</xdr:rowOff>
    </xdr:from>
    <xdr:to>
      <xdr:col>2</xdr:col>
      <xdr:colOff>347539</xdr:colOff>
      <xdr:row>20</xdr:row>
      <xdr:rowOff>133350</xdr:rowOff>
    </xdr:to>
    <xdr:pic>
      <xdr:nvPicPr>
        <xdr:cNvPr id="6" name="Grafik 5">
          <a:extLst>
            <a:ext uri="{FF2B5EF4-FFF2-40B4-BE49-F238E27FC236}">
              <a16:creationId xmlns:a16="http://schemas.microsoft.com/office/drawing/2014/main" id="{BA1CBBBB-24B2-4FD9-9216-0E5DE9C1E391}"/>
            </a:ext>
          </a:extLst>
        </xdr:cNvPr>
        <xdr:cNvPicPr>
          <a:picLocks noChangeAspect="1"/>
        </xdr:cNvPicPr>
      </xdr:nvPicPr>
      <xdr:blipFill>
        <a:blip xmlns:r="http://schemas.openxmlformats.org/officeDocument/2006/relationships" r:embed="rId1"/>
        <a:stretch>
          <a:fillRect/>
        </a:stretch>
      </xdr:blipFill>
      <xdr:spPr>
        <a:xfrm>
          <a:off x="809624" y="876300"/>
          <a:ext cx="6733373" cy="3143250"/>
        </a:xfrm>
        <a:prstGeom prst="rect">
          <a:avLst/>
        </a:prstGeom>
        <a:solidFill>
          <a:sysClr val="window" lastClr="FFFFFF"/>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2</xdr:col>
      <xdr:colOff>1693429</xdr:colOff>
      <xdr:row>24</xdr:row>
      <xdr:rowOff>95250</xdr:rowOff>
    </xdr:to>
    <xdr:pic>
      <xdr:nvPicPr>
        <xdr:cNvPr id="2" name="Grafik 1">
          <a:extLst>
            <a:ext uri="{FF2B5EF4-FFF2-40B4-BE49-F238E27FC236}">
              <a16:creationId xmlns:a16="http://schemas.microsoft.com/office/drawing/2014/main" id="{D56939EC-B4A4-4E14-AA74-DEA551A79E07}"/>
            </a:ext>
          </a:extLst>
        </xdr:cNvPr>
        <xdr:cNvPicPr>
          <a:picLocks noChangeAspect="1"/>
        </xdr:cNvPicPr>
      </xdr:nvPicPr>
      <xdr:blipFill>
        <a:blip xmlns:r="http://schemas.openxmlformats.org/officeDocument/2006/relationships" r:embed="rId1"/>
        <a:stretch>
          <a:fillRect/>
        </a:stretch>
      </xdr:blipFill>
      <xdr:spPr>
        <a:xfrm>
          <a:off x="762001" y="647700"/>
          <a:ext cx="6834904" cy="4095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279400</xdr:colOff>
      <xdr:row>18</xdr:row>
      <xdr:rowOff>50800</xdr:rowOff>
    </xdr:from>
    <xdr:to>
      <xdr:col>7</xdr:col>
      <xdr:colOff>508000</xdr:colOff>
      <xdr:row>18</xdr:row>
      <xdr:rowOff>165100</xdr:rowOff>
    </xdr:to>
    <xdr:sp macro="" textlink="">
      <xdr:nvSpPr>
        <xdr:cNvPr id="2" name="Pfeil nach rechts 1">
          <a:extLst>
            <a:ext uri="{FF2B5EF4-FFF2-40B4-BE49-F238E27FC236}">
              <a16:creationId xmlns:a16="http://schemas.microsoft.com/office/drawing/2014/main" id="{970A7880-6433-4789-908E-E7D4A67DF342}"/>
            </a:ext>
          </a:extLst>
        </xdr:cNvPr>
        <xdr:cNvSpPr/>
      </xdr:nvSpPr>
      <xdr:spPr>
        <a:xfrm>
          <a:off x="7718425" y="355600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3</xdr:col>
      <xdr:colOff>469900</xdr:colOff>
      <xdr:row>30</xdr:row>
      <xdr:rowOff>38100</xdr:rowOff>
    </xdr:from>
    <xdr:to>
      <xdr:col>3</xdr:col>
      <xdr:colOff>698500</xdr:colOff>
      <xdr:row>30</xdr:row>
      <xdr:rowOff>152400</xdr:rowOff>
    </xdr:to>
    <xdr:sp macro="" textlink="">
      <xdr:nvSpPr>
        <xdr:cNvPr id="3" name="Pfeil nach rechts 2">
          <a:extLst>
            <a:ext uri="{FF2B5EF4-FFF2-40B4-BE49-F238E27FC236}">
              <a16:creationId xmlns:a16="http://schemas.microsoft.com/office/drawing/2014/main" id="{F1F90DC3-1049-4703-8310-5C1A1E9BFCAB}"/>
            </a:ext>
          </a:extLst>
        </xdr:cNvPr>
        <xdr:cNvSpPr/>
      </xdr:nvSpPr>
      <xdr:spPr>
        <a:xfrm>
          <a:off x="3736975" y="59245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xdr:col>
      <xdr:colOff>368300</xdr:colOff>
      <xdr:row>97</xdr:row>
      <xdr:rowOff>50800</xdr:rowOff>
    </xdr:from>
    <xdr:to>
      <xdr:col>1</xdr:col>
      <xdr:colOff>596900</xdr:colOff>
      <xdr:row>97</xdr:row>
      <xdr:rowOff>165100</xdr:rowOff>
    </xdr:to>
    <xdr:sp macro="" textlink="">
      <xdr:nvSpPr>
        <xdr:cNvPr id="4" name="Pfeil nach rechts 3">
          <a:extLst>
            <a:ext uri="{FF2B5EF4-FFF2-40B4-BE49-F238E27FC236}">
              <a16:creationId xmlns:a16="http://schemas.microsoft.com/office/drawing/2014/main" id="{06E26F05-B20D-4D5D-B542-40036C8A0989}"/>
            </a:ext>
          </a:extLst>
        </xdr:cNvPr>
        <xdr:cNvSpPr/>
      </xdr:nvSpPr>
      <xdr:spPr>
        <a:xfrm>
          <a:off x="1358900" y="18815050"/>
          <a:ext cx="228600" cy="114300"/>
        </a:xfrm>
        <a:prstGeom prst="rightArrow">
          <a:avLst/>
        </a:prstGeom>
        <a:solidFill>
          <a:schemeClr val="accent2"/>
        </a:solidFill>
        <a:ln>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21</xdr:col>
      <xdr:colOff>152400</xdr:colOff>
      <xdr:row>88</xdr:row>
      <xdr:rowOff>50800</xdr:rowOff>
    </xdr:from>
    <xdr:to>
      <xdr:col>21</xdr:col>
      <xdr:colOff>381000</xdr:colOff>
      <xdr:row>88</xdr:row>
      <xdr:rowOff>165100</xdr:rowOff>
    </xdr:to>
    <xdr:sp macro="" textlink="">
      <xdr:nvSpPr>
        <xdr:cNvPr id="5" name="Pfeil nach rechts 4">
          <a:extLst>
            <a:ext uri="{FF2B5EF4-FFF2-40B4-BE49-F238E27FC236}">
              <a16:creationId xmlns:a16="http://schemas.microsoft.com/office/drawing/2014/main" id="{D5E5B60B-1461-4D00-BF75-99277A27FF3E}"/>
            </a:ext>
          </a:extLst>
        </xdr:cNvPr>
        <xdr:cNvSpPr/>
      </xdr:nvSpPr>
      <xdr:spPr>
        <a:xfrm>
          <a:off x="21459825" y="170243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19</xdr:col>
      <xdr:colOff>304800</xdr:colOff>
      <xdr:row>92</xdr:row>
      <xdr:rowOff>25400</xdr:rowOff>
    </xdr:from>
    <xdr:to>
      <xdr:col>19</xdr:col>
      <xdr:colOff>533400</xdr:colOff>
      <xdr:row>92</xdr:row>
      <xdr:rowOff>139700</xdr:rowOff>
    </xdr:to>
    <xdr:sp macro="" textlink="">
      <xdr:nvSpPr>
        <xdr:cNvPr id="6" name="Pfeil nach rechts 5">
          <a:extLst>
            <a:ext uri="{FF2B5EF4-FFF2-40B4-BE49-F238E27FC236}">
              <a16:creationId xmlns:a16="http://schemas.microsoft.com/office/drawing/2014/main" id="{468FB30E-450A-45A8-B809-E93852C09EB7}"/>
            </a:ext>
          </a:extLst>
        </xdr:cNvPr>
        <xdr:cNvSpPr/>
      </xdr:nvSpPr>
      <xdr:spPr>
        <a:xfrm>
          <a:off x="19631025" y="17770475"/>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r-lex.europa.eu/legal-content/EN/TXT/PDF/?uri=CELEX:32021H22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eur-lex.europa.eu/legal-content/EN/TXT/PDF/?uri=CELEX:32021H227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6A8-B1CC-4913-BEDB-EA2901B5EEBE}">
  <dimension ref="B2:V39"/>
  <sheetViews>
    <sheetView topLeftCell="A7" zoomScaleNormal="100" workbookViewId="0">
      <selection activeCell="O24" sqref="O24"/>
    </sheetView>
  </sheetViews>
  <sheetFormatPr defaultColWidth="10.81640625" defaultRowHeight="14.5"/>
  <cols>
    <col min="2" max="2" width="15.1796875" customWidth="1"/>
    <col min="14" max="14" width="15.81640625" customWidth="1"/>
    <col min="20" max="20" width="16.26953125" customWidth="1"/>
    <col min="21" max="21" width="25.54296875" customWidth="1"/>
  </cols>
  <sheetData>
    <row r="2" spans="2:22" ht="21">
      <c r="B2" s="163" t="s">
        <v>0</v>
      </c>
      <c r="C2" s="163"/>
      <c r="D2" s="163"/>
      <c r="E2" s="163"/>
      <c r="F2" s="163"/>
      <c r="G2" s="163"/>
    </row>
    <row r="4" spans="2:22" ht="15" thickBot="1"/>
    <row r="5" spans="2:22" ht="17.5">
      <c r="N5" t="s">
        <v>1</v>
      </c>
      <c r="O5" s="1" t="s">
        <v>2</v>
      </c>
      <c r="P5" s="7"/>
      <c r="R5" s="2"/>
      <c r="S5" s="164" t="s">
        <v>20</v>
      </c>
      <c r="T5" s="165"/>
      <c r="U5" s="20" t="s">
        <v>3</v>
      </c>
      <c r="V5" s="21"/>
    </row>
    <row r="6" spans="2:22" ht="17" thickBot="1">
      <c r="O6" s="1" t="s">
        <v>4</v>
      </c>
      <c r="P6" s="8"/>
      <c r="R6" s="3"/>
      <c r="S6" s="166" t="s">
        <v>21</v>
      </c>
      <c r="T6" s="167"/>
      <c r="U6" s="18" t="s">
        <v>5</v>
      </c>
      <c r="V6" s="19"/>
    </row>
    <row r="7" spans="2:22" ht="15.5">
      <c r="O7" s="1" t="s">
        <v>6</v>
      </c>
      <c r="P7" s="8"/>
      <c r="R7" s="3"/>
      <c r="S7" s="3"/>
      <c r="T7" s="3"/>
    </row>
    <row r="8" spans="2:22" ht="15.5">
      <c r="O8" s="1" t="s">
        <v>7</v>
      </c>
      <c r="P8" s="8"/>
      <c r="R8" s="2"/>
      <c r="S8" s="2"/>
      <c r="T8" s="2"/>
    </row>
    <row r="9" spans="2:22" ht="15.5">
      <c r="O9" s="1" t="s">
        <v>8</v>
      </c>
      <c r="P9" s="8"/>
      <c r="R9" s="2"/>
      <c r="S9" s="2"/>
      <c r="T9" s="2"/>
    </row>
    <row r="10" spans="2:22" ht="15.5">
      <c r="O10" s="1" t="s">
        <v>9</v>
      </c>
      <c r="P10" s="8"/>
      <c r="R10" s="2"/>
      <c r="S10" s="2"/>
      <c r="T10" s="2"/>
    </row>
    <row r="11" spans="2:22" ht="15.5">
      <c r="O11" s="1" t="s">
        <v>10</v>
      </c>
      <c r="P11" s="8"/>
      <c r="R11" s="2"/>
      <c r="S11" s="2"/>
      <c r="T11" s="2"/>
    </row>
    <row r="12" spans="2:22" ht="15.5">
      <c r="O12" s="1" t="s">
        <v>11</v>
      </c>
      <c r="P12" s="8"/>
      <c r="R12" s="2"/>
      <c r="S12" s="2"/>
      <c r="T12" s="2"/>
    </row>
    <row r="13" spans="2:22" ht="15.5">
      <c r="O13" s="1" t="s">
        <v>12</v>
      </c>
      <c r="P13" s="8"/>
      <c r="R13" s="2"/>
      <c r="S13" s="2"/>
      <c r="T13" s="2"/>
    </row>
    <row r="14" spans="2:22" ht="15.5">
      <c r="O14" s="1" t="s">
        <v>13</v>
      </c>
      <c r="P14" s="8"/>
      <c r="R14" s="2"/>
      <c r="S14" s="2"/>
      <c r="T14" s="2"/>
    </row>
    <row r="15" spans="2:22" ht="15.5">
      <c r="O15" s="1" t="s">
        <v>14</v>
      </c>
      <c r="P15" s="8"/>
      <c r="R15" s="2"/>
      <c r="S15" s="2"/>
      <c r="T15" s="2"/>
    </row>
    <row r="17" spans="14:21">
      <c r="N17" s="5" t="s">
        <v>15</v>
      </c>
      <c r="O17" s="168" t="s">
        <v>16</v>
      </c>
      <c r="P17" s="168"/>
      <c r="Q17" s="168"/>
      <c r="R17" s="168"/>
      <c r="S17" s="168"/>
      <c r="T17" s="168"/>
      <c r="U17" s="168"/>
    </row>
    <row r="18" spans="14:21">
      <c r="P18" s="10" t="e">
        <f>(1-P9)*P13+P21P9*(P5*P11+(1-P5)*P13*(P6/P8))+(1-P5)*P10*(P12-P14*(P7/P8))</f>
        <v>#NAME?</v>
      </c>
    </row>
    <row r="20" spans="14:21">
      <c r="N20" s="6" t="s">
        <v>17</v>
      </c>
      <c r="O20" s="4" t="s">
        <v>18</v>
      </c>
    </row>
    <row r="21" spans="14:21">
      <c r="P21" s="10">
        <f>(1-P10)*P15</f>
        <v>0</v>
      </c>
    </row>
    <row r="23" spans="14:21">
      <c r="N23" s="4" t="s">
        <v>19</v>
      </c>
      <c r="O23" s="10" t="e">
        <f>P18+P21</f>
        <v>#NAME?</v>
      </c>
    </row>
    <row r="39" spans="2:3">
      <c r="B39" t="s">
        <v>22</v>
      </c>
      <c r="C39" s="9" t="s">
        <v>23</v>
      </c>
    </row>
  </sheetData>
  <mergeCells count="4">
    <mergeCell ref="B2:G2"/>
    <mergeCell ref="S5:T5"/>
    <mergeCell ref="S6:T6"/>
    <mergeCell ref="O17:U17"/>
  </mergeCells>
  <hyperlinks>
    <hyperlink ref="C39" r:id="rId1" xr:uid="{8234834B-4713-4111-8DE3-880BAB4195DF}"/>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A79A-6A5D-47BC-924A-434DAD144CA9}">
  <dimension ref="A1:M192"/>
  <sheetViews>
    <sheetView topLeftCell="A157" zoomScale="70" zoomScaleNormal="70" workbookViewId="0">
      <selection activeCell="E189" sqref="E189"/>
    </sheetView>
  </sheetViews>
  <sheetFormatPr defaultColWidth="10.81640625" defaultRowHeight="14.5"/>
  <cols>
    <col min="1" max="1" width="19.453125" customWidth="1"/>
    <col min="2" max="2" width="104.54296875" customWidth="1"/>
    <col min="3" max="3" width="42" customWidth="1"/>
    <col min="4" max="4" width="54.81640625" customWidth="1"/>
    <col min="5" max="5" width="81.81640625" customWidth="1"/>
    <col min="6" max="6" width="52.1796875" customWidth="1"/>
  </cols>
  <sheetData>
    <row r="1" spans="1:13" ht="15" thickBot="1"/>
    <row r="2" spans="1:13" ht="15" thickBot="1">
      <c r="B2" s="129" t="s">
        <v>64</v>
      </c>
    </row>
    <row r="3" spans="1:13" ht="15" thickBot="1"/>
    <row r="4" spans="1:13" ht="15" thickBot="1">
      <c r="A4" s="131" t="s">
        <v>577</v>
      </c>
      <c r="B4" s="169" t="s">
        <v>578</v>
      </c>
      <c r="C4" s="170"/>
      <c r="D4" s="170"/>
      <c r="E4" s="171"/>
      <c r="F4" s="130"/>
      <c r="G4" s="130"/>
      <c r="H4" s="130"/>
      <c r="I4" s="130"/>
      <c r="J4" s="130"/>
      <c r="K4" s="130"/>
      <c r="L4" s="130"/>
      <c r="M4" s="130"/>
    </row>
    <row r="5" spans="1:13" ht="15" thickBot="1"/>
    <row r="6" spans="1:13" ht="15" thickBot="1">
      <c r="A6" s="132">
        <v>0.95</v>
      </c>
      <c r="B6" s="175" t="s">
        <v>581</v>
      </c>
      <c r="C6" s="176"/>
      <c r="D6" s="176"/>
      <c r="E6" s="177"/>
    </row>
    <row r="7" spans="1:13">
      <c r="B7" s="115" t="s">
        <v>162</v>
      </c>
      <c r="C7" s="128" t="s">
        <v>81</v>
      </c>
      <c r="D7" s="128" t="s">
        <v>175</v>
      </c>
      <c r="E7" s="115" t="s">
        <v>177</v>
      </c>
    </row>
    <row r="8" spans="1:13">
      <c r="B8" s="1" t="s">
        <v>163</v>
      </c>
      <c r="C8" s="56">
        <v>4.6599999999999994E-6</v>
      </c>
      <c r="D8" s="57">
        <v>2.2580000000000003E-9</v>
      </c>
      <c r="E8" s="44">
        <v>1.7729999999999998E-5</v>
      </c>
    </row>
    <row r="9" spans="1:13">
      <c r="B9" s="1" t="s">
        <v>164</v>
      </c>
      <c r="C9" s="56">
        <v>13.58</v>
      </c>
      <c r="D9" s="57">
        <v>0.1709</v>
      </c>
      <c r="E9" s="44">
        <v>684</v>
      </c>
    </row>
    <row r="10" spans="1:13">
      <c r="B10" s="1" t="s">
        <v>165</v>
      </c>
      <c r="C10" s="56">
        <v>2.0109999999999998E-3</v>
      </c>
      <c r="D10" s="57">
        <v>3.1900000000000003E-5</v>
      </c>
      <c r="E10" s="44">
        <v>0.1956</v>
      </c>
    </row>
    <row r="11" spans="1:13">
      <c r="B11" s="1" t="s">
        <v>166</v>
      </c>
      <c r="C11" s="56">
        <v>4.1200000000000004E-4</v>
      </c>
      <c r="D11" s="57">
        <v>3.4300000000000002E-6</v>
      </c>
      <c r="E11" s="44">
        <v>1.489E-2</v>
      </c>
    </row>
    <row r="12" spans="1:13">
      <c r="B12" s="1" t="s">
        <v>167</v>
      </c>
      <c r="C12" s="56">
        <v>3.0600000000000002E-3</v>
      </c>
      <c r="D12" s="57">
        <v>2.8380000000000003E-5</v>
      </c>
      <c r="E12" s="44">
        <v>0.313</v>
      </c>
    </row>
    <row r="13" spans="1:13">
      <c r="B13" s="147" t="s">
        <v>168</v>
      </c>
      <c r="C13" s="148">
        <v>1.331</v>
      </c>
      <c r="D13" s="149">
        <v>1.1809999999999999E-2</v>
      </c>
      <c r="E13" s="150">
        <v>62.7</v>
      </c>
    </row>
    <row r="14" spans="1:13">
      <c r="B14" s="1" t="s">
        <v>169</v>
      </c>
      <c r="C14" s="56">
        <v>1.329</v>
      </c>
      <c r="D14" s="57">
        <v>1.197E-2</v>
      </c>
      <c r="E14" s="44">
        <v>62.8</v>
      </c>
    </row>
    <row r="15" spans="1:13">
      <c r="B15" s="1" t="s">
        <v>170</v>
      </c>
      <c r="C15" s="56">
        <v>5.3400000000000003E-2</v>
      </c>
      <c r="D15" s="57">
        <v>3.4400000000000001E-4</v>
      </c>
      <c r="E15" s="44">
        <v>84.3</v>
      </c>
    </row>
    <row r="16" spans="1:13">
      <c r="B16" s="1" t="s">
        <v>171</v>
      </c>
      <c r="C16" s="56">
        <v>157.19999999999999</v>
      </c>
      <c r="D16" s="57">
        <v>1.0899999999999999</v>
      </c>
      <c r="E16" s="44">
        <v>105900</v>
      </c>
    </row>
    <row r="17" spans="1:5">
      <c r="B17" s="1" t="s">
        <v>172</v>
      </c>
      <c r="C17" s="56">
        <v>5.1799999999999998E-11</v>
      </c>
      <c r="D17" s="57">
        <v>1.923E-14</v>
      </c>
      <c r="E17" s="44">
        <v>1.018E-10</v>
      </c>
    </row>
    <row r="18" spans="1:5">
      <c r="B18" s="1" t="s">
        <v>173</v>
      </c>
      <c r="C18" s="56">
        <v>1.3739999999999998E-4</v>
      </c>
      <c r="D18" s="57">
        <v>2.9400000000000002E-6</v>
      </c>
      <c r="E18" s="44">
        <v>1.1679999999999999E-2</v>
      </c>
    </row>
    <row r="19" spans="1:5">
      <c r="B19" s="1" t="s">
        <v>174</v>
      </c>
      <c r="C19" s="56">
        <v>2.2539999999999999E-3</v>
      </c>
      <c r="D19" s="57">
        <v>1.314E-4</v>
      </c>
      <c r="E19" s="44">
        <v>0.1172</v>
      </c>
    </row>
    <row r="20" spans="1:5" ht="15" thickBot="1"/>
    <row r="21" spans="1:5" ht="15" thickBot="1">
      <c r="A21" s="132">
        <v>0.05</v>
      </c>
      <c r="B21" s="175" t="s">
        <v>582</v>
      </c>
      <c r="C21" s="176"/>
      <c r="D21" s="176"/>
      <c r="E21" s="177"/>
    </row>
    <row r="22" spans="1:5">
      <c r="B22" s="115" t="s">
        <v>162</v>
      </c>
      <c r="C22" s="128" t="s">
        <v>81</v>
      </c>
      <c r="D22" s="128" t="s">
        <v>175</v>
      </c>
      <c r="E22" s="115" t="s">
        <v>177</v>
      </c>
    </row>
    <row r="23" spans="1:5">
      <c r="B23" s="1" t="s">
        <v>163</v>
      </c>
      <c r="C23" s="56">
        <v>3.2300000000000002E-7</v>
      </c>
      <c r="D23" s="57">
        <v>1.09E-10</v>
      </c>
      <c r="E23" s="44">
        <v>1.1700000000000001E-8</v>
      </c>
    </row>
    <row r="24" spans="1:5">
      <c r="B24" s="1" t="s">
        <v>164</v>
      </c>
      <c r="C24" s="56">
        <v>4.24</v>
      </c>
      <c r="D24" s="57">
        <v>8.2400000000000008E-3</v>
      </c>
      <c r="E24" s="44">
        <v>7.3</v>
      </c>
    </row>
    <row r="25" spans="1:5">
      <c r="B25" s="1" t="s">
        <v>165</v>
      </c>
      <c r="C25" s="56">
        <v>6.11E-4</v>
      </c>
      <c r="D25" s="57">
        <v>1.5400000000000001E-6</v>
      </c>
      <c r="E25" s="44">
        <v>1.74E-3</v>
      </c>
    </row>
    <row r="26" spans="1:5">
      <c r="B26" s="1" t="s">
        <v>166</v>
      </c>
      <c r="C26" s="56">
        <v>1.17E-4</v>
      </c>
      <c r="D26" s="57">
        <v>1.6500000000000001E-7</v>
      </c>
      <c r="E26" s="44">
        <v>1.73E-4</v>
      </c>
    </row>
    <row r="27" spans="1:5">
      <c r="B27" s="1" t="s">
        <v>167</v>
      </c>
      <c r="C27" s="56">
        <v>8.1400000000000005E-4</v>
      </c>
      <c r="D27" s="57">
        <v>1.37E-6</v>
      </c>
      <c r="E27" s="44">
        <v>1.0300000000000001E-3</v>
      </c>
    </row>
    <row r="28" spans="1:5">
      <c r="B28" s="147" t="s">
        <v>168</v>
      </c>
      <c r="C28" s="148">
        <v>0.42699999999999999</v>
      </c>
      <c r="D28" s="149">
        <v>5.6899999999999995E-4</v>
      </c>
      <c r="E28" s="150">
        <v>0.81599999999999995</v>
      </c>
    </row>
    <row r="29" spans="1:5">
      <c r="B29" s="1" t="s">
        <v>169</v>
      </c>
      <c r="C29" s="56">
        <v>0.42699999999999999</v>
      </c>
      <c r="D29" s="57">
        <v>5.7600000000000001E-4</v>
      </c>
      <c r="E29" s="44">
        <v>0.81599999999999995</v>
      </c>
    </row>
    <row r="30" spans="1:5">
      <c r="B30" s="1" t="s">
        <v>170</v>
      </c>
      <c r="C30" s="56">
        <v>1.67E-2</v>
      </c>
      <c r="D30" s="57">
        <v>1.66E-5</v>
      </c>
      <c r="E30" s="44">
        <v>7.5899999999999995E-2</v>
      </c>
    </row>
    <row r="31" spans="1:5">
      <c r="B31" s="1" t="s">
        <v>171</v>
      </c>
      <c r="C31" s="56">
        <v>50.2</v>
      </c>
      <c r="D31" s="57">
        <v>5.2499999999999998E-2</v>
      </c>
      <c r="E31" s="44">
        <v>42.6</v>
      </c>
    </row>
    <row r="32" spans="1:5">
      <c r="B32" s="1" t="s">
        <v>172</v>
      </c>
      <c r="C32" s="56">
        <v>1.6999999999999999E-11</v>
      </c>
      <c r="D32" s="57">
        <v>9.2700000000000007E-16</v>
      </c>
      <c r="E32" s="44">
        <v>6.8300000000000002E-13</v>
      </c>
    </row>
    <row r="33" spans="2:6">
      <c r="B33" s="1" t="s">
        <v>173</v>
      </c>
      <c r="C33" s="56">
        <v>4.0800000000000002E-5</v>
      </c>
      <c r="D33" s="57">
        <v>1.42E-7</v>
      </c>
      <c r="E33" s="44">
        <v>2.4399999999999999E-4</v>
      </c>
    </row>
    <row r="34" spans="2:6">
      <c r="B34" s="1" t="s">
        <v>174</v>
      </c>
      <c r="C34" s="56">
        <v>6.02E-4</v>
      </c>
      <c r="D34" s="57">
        <v>6.3300000000000004E-6</v>
      </c>
      <c r="E34" s="44">
        <v>5.9299999999999999E-4</v>
      </c>
    </row>
    <row r="36" spans="2:6" ht="15" thickBot="1"/>
    <row r="37" spans="2:6" ht="15" thickBot="1">
      <c r="B37" s="172" t="s">
        <v>579</v>
      </c>
      <c r="C37" s="173"/>
      <c r="D37" s="173"/>
      <c r="E37" s="174"/>
    </row>
    <row r="38" spans="2:6">
      <c r="B38" s="73" t="s">
        <v>179</v>
      </c>
      <c r="C38" s="136" t="s">
        <v>189</v>
      </c>
      <c r="D38" s="115" t="s">
        <v>788</v>
      </c>
      <c r="E38" s="115" t="s">
        <v>591</v>
      </c>
    </row>
    <row r="39" spans="2:6" ht="29">
      <c r="B39" s="178" t="s">
        <v>600</v>
      </c>
      <c r="C39" s="180">
        <v>0.2</v>
      </c>
      <c r="D39" s="34" t="s">
        <v>789</v>
      </c>
      <c r="E39" s="137" t="s">
        <v>790</v>
      </c>
    </row>
    <row r="40" spans="2:6" ht="15" hidden="1" customHeight="1">
      <c r="B40" s="179"/>
      <c r="C40" s="181"/>
      <c r="D40" s="1"/>
      <c r="E40" s="1"/>
    </row>
    <row r="41" spans="2:6">
      <c r="B41" s="34" t="s">
        <v>595</v>
      </c>
      <c r="C41" s="133">
        <v>0</v>
      </c>
      <c r="D41" s="34" t="s">
        <v>791</v>
      </c>
      <c r="E41" s="137" t="s">
        <v>607</v>
      </c>
    </row>
    <row r="42" spans="2:6" ht="101.5">
      <c r="B42" s="138" t="s">
        <v>596</v>
      </c>
      <c r="C42" s="133" t="s">
        <v>763</v>
      </c>
      <c r="D42" s="36" t="s">
        <v>797</v>
      </c>
      <c r="E42" s="36" t="s">
        <v>792</v>
      </c>
      <c r="F42" s="160" t="s">
        <v>793</v>
      </c>
    </row>
    <row r="43" spans="2:6">
      <c r="B43" s="34" t="s">
        <v>597</v>
      </c>
      <c r="C43" s="133">
        <v>1</v>
      </c>
      <c r="D43" s="1" t="s">
        <v>794</v>
      </c>
      <c r="E43" s="1" t="s">
        <v>592</v>
      </c>
    </row>
    <row r="44" spans="2:6" ht="101.5">
      <c r="B44" s="138" t="s">
        <v>598</v>
      </c>
      <c r="C44" s="133" t="s">
        <v>688</v>
      </c>
      <c r="D44" s="45" t="s">
        <v>796</v>
      </c>
      <c r="E44" s="45" t="s">
        <v>795</v>
      </c>
    </row>
    <row r="45" spans="2:6" ht="174">
      <c r="B45" s="34" t="s">
        <v>599</v>
      </c>
      <c r="C45" s="133" t="s">
        <v>766</v>
      </c>
      <c r="D45" s="36" t="s">
        <v>799</v>
      </c>
      <c r="E45" s="36" t="s">
        <v>798</v>
      </c>
    </row>
    <row r="46" spans="2:6" ht="15" thickBot="1"/>
    <row r="47" spans="2:6" ht="15" thickBot="1">
      <c r="B47" s="172" t="s">
        <v>580</v>
      </c>
      <c r="C47" s="173"/>
      <c r="D47" s="173"/>
      <c r="E47" s="174"/>
    </row>
    <row r="48" spans="2:6">
      <c r="B48" s="73" t="s">
        <v>179</v>
      </c>
      <c r="C48" s="136" t="s">
        <v>189</v>
      </c>
      <c r="D48" s="115" t="s">
        <v>590</v>
      </c>
      <c r="E48" s="115" t="s">
        <v>591</v>
      </c>
    </row>
    <row r="49" spans="1:5" ht="30.75" customHeight="1">
      <c r="B49" s="178" t="s">
        <v>600</v>
      </c>
      <c r="C49" s="180">
        <v>0.2</v>
      </c>
      <c r="D49" s="182" t="s">
        <v>800</v>
      </c>
      <c r="E49" s="184" t="s">
        <v>801</v>
      </c>
    </row>
    <row r="50" spans="1:5" ht="4.5" customHeight="1">
      <c r="B50" s="179"/>
      <c r="C50" s="181"/>
      <c r="D50" s="183"/>
      <c r="E50" s="185"/>
    </row>
    <row r="51" spans="1:5" ht="29">
      <c r="B51" s="34" t="s">
        <v>595</v>
      </c>
      <c r="C51" s="133">
        <v>0</v>
      </c>
      <c r="D51" s="34" t="s">
        <v>802</v>
      </c>
      <c r="E51" s="137" t="s">
        <v>803</v>
      </c>
    </row>
    <row r="52" spans="1:5" ht="116">
      <c r="B52" s="138" t="s">
        <v>596</v>
      </c>
      <c r="C52" s="133" t="s">
        <v>771</v>
      </c>
      <c r="D52" s="37" t="s">
        <v>804</v>
      </c>
      <c r="E52" s="36" t="s">
        <v>805</v>
      </c>
    </row>
    <row r="53" spans="1:5">
      <c r="B53" s="34" t="s">
        <v>597</v>
      </c>
      <c r="C53" s="133">
        <v>1</v>
      </c>
      <c r="D53" s="1" t="s">
        <v>806</v>
      </c>
      <c r="E53" s="1" t="s">
        <v>592</v>
      </c>
    </row>
    <row r="54" spans="1:5" ht="159.5">
      <c r="B54" s="138" t="s">
        <v>598</v>
      </c>
      <c r="C54" s="133" t="s">
        <v>614</v>
      </c>
      <c r="D54" s="36" t="s">
        <v>807</v>
      </c>
      <c r="E54" s="45" t="s">
        <v>808</v>
      </c>
    </row>
    <row r="55" spans="1:5" ht="145">
      <c r="B55" s="34" t="s">
        <v>599</v>
      </c>
      <c r="C55" s="133" t="s">
        <v>776</v>
      </c>
      <c r="D55" s="37" t="s">
        <v>809</v>
      </c>
      <c r="E55" s="45" t="s">
        <v>810</v>
      </c>
    </row>
    <row r="57" spans="1:5" ht="15" thickBot="1"/>
    <row r="58" spans="1:5" ht="15" thickBot="1">
      <c r="A58" s="131" t="s">
        <v>577</v>
      </c>
      <c r="B58" s="169" t="s">
        <v>432</v>
      </c>
      <c r="C58" s="170"/>
      <c r="D58" s="170"/>
      <c r="E58" s="171"/>
    </row>
    <row r="60" spans="1:5" ht="15" thickBot="1"/>
    <row r="61" spans="1:5" ht="15" thickBot="1">
      <c r="A61" s="132">
        <v>0.54</v>
      </c>
      <c r="B61" s="175" t="s">
        <v>581</v>
      </c>
      <c r="C61" s="176"/>
      <c r="D61" s="176"/>
      <c r="E61" s="177"/>
    </row>
    <row r="62" spans="1:5">
      <c r="B62" s="1" t="s">
        <v>162</v>
      </c>
      <c r="C62" s="1" t="s">
        <v>177</v>
      </c>
      <c r="D62" s="58" t="s">
        <v>81</v>
      </c>
      <c r="E62" s="58" t="s">
        <v>175</v>
      </c>
    </row>
    <row r="63" spans="1:5">
      <c r="B63" s="1" t="s">
        <v>163</v>
      </c>
      <c r="C63" s="113">
        <v>1.0499999999999999E-5</v>
      </c>
      <c r="D63" s="57">
        <v>2.5474999999999997E-6</v>
      </c>
      <c r="E63" s="44">
        <v>1.2376152882205513E-9</v>
      </c>
    </row>
    <row r="64" spans="1:5">
      <c r="B64" s="1" t="s">
        <v>164</v>
      </c>
      <c r="C64" s="114">
        <v>405</v>
      </c>
      <c r="D64" s="57">
        <v>7.4266666666666659</v>
      </c>
      <c r="E64" s="44">
        <v>9.346012531328321E-2</v>
      </c>
    </row>
    <row r="65" spans="1:5">
      <c r="B65" s="1" t="s">
        <v>165</v>
      </c>
      <c r="C65" s="114">
        <v>0.11600000000000001</v>
      </c>
      <c r="D65" s="57">
        <v>1.0983333333333333E-3</v>
      </c>
      <c r="E65" s="44">
        <v>1.7452694235588974E-5</v>
      </c>
    </row>
    <row r="66" spans="1:5">
      <c r="B66" s="1" t="s">
        <v>166</v>
      </c>
      <c r="C66" s="114">
        <v>8.8100000000000001E-3</v>
      </c>
      <c r="D66" s="57">
        <v>2.253333333333333E-4</v>
      </c>
      <c r="E66" s="44">
        <v>1.8730162907268171E-6</v>
      </c>
    </row>
    <row r="67" spans="1:5">
      <c r="B67" s="1" t="s">
        <v>167</v>
      </c>
      <c r="C67" s="114">
        <v>0.1845</v>
      </c>
      <c r="D67" s="57">
        <v>1.6758333333333334E-3</v>
      </c>
      <c r="E67" s="44">
        <v>1.5553157894736841E-5</v>
      </c>
    </row>
    <row r="68" spans="1:5">
      <c r="B68" s="147" t="s">
        <v>168</v>
      </c>
      <c r="C68" s="151">
        <v>37.14</v>
      </c>
      <c r="D68" s="149">
        <v>0.72699999999999998</v>
      </c>
      <c r="E68" s="150">
        <v>6.4535213032581498E-3</v>
      </c>
    </row>
    <row r="69" spans="1:5">
      <c r="B69" s="1" t="s">
        <v>169</v>
      </c>
      <c r="C69" s="114">
        <v>37.15</v>
      </c>
      <c r="D69" s="57">
        <v>0.72633333333333328</v>
      </c>
      <c r="E69" s="44">
        <v>6.5381303258145364E-3</v>
      </c>
    </row>
    <row r="70" spans="1:5">
      <c r="B70" s="1" t="s">
        <v>170</v>
      </c>
      <c r="C70" s="114">
        <v>50</v>
      </c>
      <c r="D70" s="57">
        <v>2.9199999999999997E-2</v>
      </c>
      <c r="E70" s="44">
        <v>1.882967418546366E-4</v>
      </c>
    </row>
    <row r="71" spans="1:5">
      <c r="B71" s="1" t="s">
        <v>171</v>
      </c>
      <c r="C71" s="114">
        <v>62700</v>
      </c>
      <c r="D71" s="57">
        <v>86.1</v>
      </c>
      <c r="E71" s="44">
        <v>0.59533182957393482</v>
      </c>
    </row>
    <row r="72" spans="1:5">
      <c r="B72" s="1" t="s">
        <v>172</v>
      </c>
      <c r="C72" s="114">
        <v>6.0300000000000001E-11</v>
      </c>
      <c r="D72" s="57">
        <v>2.8349999999999998E-11</v>
      </c>
      <c r="E72" s="44">
        <v>1.0530538847117795E-14</v>
      </c>
    </row>
    <row r="73" spans="1:5">
      <c r="B73" s="1" t="s">
        <v>173</v>
      </c>
      <c r="C73" s="114">
        <v>6.9100000000000003E-3</v>
      </c>
      <c r="D73" s="57">
        <v>7.5116666666666658E-5</v>
      </c>
      <c r="E73" s="44">
        <v>1.608404761904762E-6</v>
      </c>
    </row>
    <row r="74" spans="1:5">
      <c r="B74" s="1" t="s">
        <v>174</v>
      </c>
      <c r="C74" s="114">
        <v>6.9400000000000003E-2</v>
      </c>
      <c r="D74" s="57">
        <v>1.2308333333333331E-3</v>
      </c>
      <c r="E74" s="44">
        <v>7.1843157894736846E-5</v>
      </c>
    </row>
    <row r="75" spans="1:5" ht="15" thickBot="1"/>
    <row r="76" spans="1:5" ht="15" thickBot="1">
      <c r="A76" s="134">
        <v>4.4999999999999998E-2</v>
      </c>
      <c r="B76" s="175" t="s">
        <v>582</v>
      </c>
      <c r="C76" s="176"/>
      <c r="D76" s="176"/>
      <c r="E76" s="177"/>
    </row>
    <row r="77" spans="1:5">
      <c r="B77" s="1" t="s">
        <v>162</v>
      </c>
      <c r="C77" s="1" t="s">
        <v>177</v>
      </c>
      <c r="D77" s="58" t="s">
        <v>81</v>
      </c>
      <c r="E77" s="58" t="s">
        <v>175</v>
      </c>
    </row>
    <row r="78" spans="1:5">
      <c r="B78" s="1" t="s">
        <v>163</v>
      </c>
      <c r="C78" s="44">
        <v>1.11E-8</v>
      </c>
      <c r="D78" s="57">
        <v>3.0667124555797766E-7</v>
      </c>
      <c r="E78" s="44">
        <v>1.0336265607264472E-10</v>
      </c>
    </row>
    <row r="79" spans="1:5">
      <c r="B79" s="1" t="s">
        <v>164</v>
      </c>
      <c r="C79" s="44">
        <v>6.91</v>
      </c>
      <c r="D79" s="57">
        <v>4.0200600232926211</v>
      </c>
      <c r="E79" s="44">
        <v>7.8022133938706016E-3</v>
      </c>
    </row>
    <row r="80" spans="1:5">
      <c r="B80" s="1" t="s">
        <v>165</v>
      </c>
      <c r="C80" s="44">
        <v>1.65E-3</v>
      </c>
      <c r="D80" s="57">
        <v>5.7934198345626655E-4</v>
      </c>
      <c r="E80" s="44">
        <v>1.4537457434733258E-6</v>
      </c>
    </row>
    <row r="81" spans="1:6">
      <c r="B81" s="1" t="s">
        <v>166</v>
      </c>
      <c r="C81" s="44">
        <v>1.64E-4</v>
      </c>
      <c r="D81" s="57">
        <v>1.1066831904918326E-4</v>
      </c>
      <c r="E81" s="44">
        <v>1.5604426787741203E-7</v>
      </c>
    </row>
    <row r="82" spans="1:6">
      <c r="B82" s="1" t="s">
        <v>167</v>
      </c>
      <c r="C82" s="44">
        <v>9.7900000000000005E-4</v>
      </c>
      <c r="D82" s="57">
        <v>7.7334488010272629E-4</v>
      </c>
      <c r="E82" s="44">
        <v>1.2937003405221339E-6</v>
      </c>
    </row>
    <row r="83" spans="1:6">
      <c r="B83" s="147" t="s">
        <v>168</v>
      </c>
      <c r="C83" s="150">
        <v>0.77300000000000002</v>
      </c>
      <c r="D83" s="149">
        <v>0.40467270881237499</v>
      </c>
      <c r="E83" s="150">
        <v>5.3881952326901195E-4</v>
      </c>
    </row>
    <row r="84" spans="1:6">
      <c r="B84" s="1" t="s">
        <v>169</v>
      </c>
      <c r="C84" s="44">
        <v>0.77300000000000002</v>
      </c>
      <c r="D84" s="57">
        <v>0.40467270881237488</v>
      </c>
      <c r="E84" s="44">
        <v>5.4615493757094208E-4</v>
      </c>
    </row>
    <row r="85" spans="1:6">
      <c r="B85" s="1" t="s">
        <v>170</v>
      </c>
      <c r="C85" s="44">
        <v>7.1999999999999995E-2</v>
      </c>
      <c r="D85" s="57">
        <v>1.5800235912443634E-2</v>
      </c>
      <c r="E85" s="44">
        <v>1.56711123723042E-5</v>
      </c>
    </row>
    <row r="86" spans="1:6">
      <c r="B86" s="1" t="s">
        <v>171</v>
      </c>
      <c r="C86" s="44">
        <v>40.4</v>
      </c>
      <c r="D86" s="57">
        <v>47.600710723564369</v>
      </c>
      <c r="E86" s="44">
        <v>4.9747446083995457E-2</v>
      </c>
    </row>
    <row r="87" spans="1:6">
      <c r="B87" s="1" t="s">
        <v>172</v>
      </c>
      <c r="C87" s="44">
        <v>6.4699999999999997E-13</v>
      </c>
      <c r="D87" s="57">
        <v>1.6066906560754917E-11</v>
      </c>
      <c r="E87" s="44">
        <v>8.8024971623155496E-16</v>
      </c>
    </row>
    <row r="88" spans="1:6">
      <c r="B88" s="1" t="s">
        <v>173</v>
      </c>
      <c r="C88" s="44">
        <v>2.31E-4</v>
      </c>
      <c r="D88" s="57">
        <v>3.86005763430585E-5</v>
      </c>
      <c r="E88" s="44">
        <v>1.3403802497162316E-7</v>
      </c>
    </row>
    <row r="89" spans="1:6">
      <c r="B89" s="1" t="s">
        <v>174</v>
      </c>
      <c r="C89" s="44">
        <v>5.62E-4</v>
      </c>
      <c r="D89" s="57">
        <v>5.7067518738614976E-4</v>
      </c>
      <c r="E89" s="44">
        <v>5.9950340522133935E-6</v>
      </c>
    </row>
    <row r="90" spans="1:6" ht="15" thickBot="1"/>
    <row r="91" spans="1:6" ht="15" thickBot="1">
      <c r="A91" s="134">
        <v>0.41499999999999998</v>
      </c>
      <c r="B91" s="172" t="s">
        <v>583</v>
      </c>
      <c r="C91" s="173"/>
      <c r="D91" s="173"/>
      <c r="E91" s="173"/>
      <c r="F91" s="186"/>
    </row>
    <row r="92" spans="1:6">
      <c r="B92" s="115" t="s">
        <v>162</v>
      </c>
      <c r="C92" s="115" t="s">
        <v>177</v>
      </c>
      <c r="D92" s="58" t="s">
        <v>81</v>
      </c>
      <c r="E92" s="58" t="s">
        <v>175</v>
      </c>
      <c r="F92" s="1" t="s">
        <v>288</v>
      </c>
    </row>
    <row r="93" spans="1:6">
      <c r="B93" s="1" t="s">
        <v>163</v>
      </c>
      <c r="C93" s="57">
        <v>1.1346699999999999E-4</v>
      </c>
      <c r="D93" s="57">
        <v>2.8738823024054981E-7</v>
      </c>
      <c r="E93" s="44">
        <v>1.4460936426116838E-9</v>
      </c>
      <c r="F93" s="116">
        <v>1.8E-7</v>
      </c>
    </row>
    <row r="94" spans="1:6">
      <c r="B94" s="1" t="s">
        <v>164</v>
      </c>
      <c r="C94" s="57">
        <v>98.300000000000011</v>
      </c>
      <c r="D94" s="57">
        <v>3.7250640034364264</v>
      </c>
      <c r="E94" s="44">
        <v>0.10799939862542955</v>
      </c>
      <c r="F94" s="116">
        <v>1.88</v>
      </c>
    </row>
    <row r="95" spans="1:6">
      <c r="B95" s="1" t="s">
        <v>165</v>
      </c>
      <c r="C95" s="57">
        <v>1.6309999999999998E-2</v>
      </c>
      <c r="D95" s="57">
        <v>5.4182749140893464E-4</v>
      </c>
      <c r="E95" s="44">
        <v>1.9128707044673542E-5</v>
      </c>
      <c r="F95" s="116">
        <v>2.7399999999999999E-4</v>
      </c>
    </row>
    <row r="96" spans="1:6">
      <c r="B96" s="1" t="s">
        <v>166</v>
      </c>
      <c r="C96" s="57">
        <v>1.0809999999999999E-3</v>
      </c>
      <c r="D96" s="57">
        <v>1.0342315292096219E-4</v>
      </c>
      <c r="E96" s="44">
        <v>2.1142255154639176E-5</v>
      </c>
      <c r="F96" s="116">
        <v>5.3699999999999997E-5</v>
      </c>
    </row>
    <row r="97" spans="2:6">
      <c r="B97" s="1" t="s">
        <v>167</v>
      </c>
      <c r="C97" s="57">
        <v>2.503E-2</v>
      </c>
      <c r="D97" s="57">
        <v>7.1847057560137453E-4</v>
      </c>
      <c r="E97" s="44">
        <v>3.4413367697594504E-5</v>
      </c>
      <c r="F97" s="116">
        <v>3.86E-4</v>
      </c>
    </row>
    <row r="98" spans="2:6">
      <c r="B98" s="147" t="s">
        <v>168</v>
      </c>
      <c r="C98" s="150">
        <v>3.83</v>
      </c>
      <c r="D98" s="149">
        <v>0.369760652920962</v>
      </c>
      <c r="E98" s="150">
        <v>7.4501280068728498E-3</v>
      </c>
      <c r="F98" s="152">
        <v>0.186</v>
      </c>
    </row>
    <row r="99" spans="2:6">
      <c r="B99" s="1" t="s">
        <v>169</v>
      </c>
      <c r="C99" s="57">
        <v>3.83</v>
      </c>
      <c r="D99" s="57">
        <v>0.36976065292096222</v>
      </c>
      <c r="E99" s="44">
        <v>7.5416529209622E-3</v>
      </c>
      <c r="F99" s="116">
        <v>0.186</v>
      </c>
    </row>
    <row r="100" spans="2:6">
      <c r="B100" s="1" t="s">
        <v>170</v>
      </c>
      <c r="C100" s="57">
        <v>0.13740000000000002</v>
      </c>
      <c r="D100" s="57">
        <v>1.4827036082474225E-2</v>
      </c>
      <c r="E100" s="44">
        <v>2.2057504295532645E-4</v>
      </c>
      <c r="F100" s="116">
        <v>7.4400000000000004E-3</v>
      </c>
    </row>
    <row r="101" spans="2:6">
      <c r="B101" s="1" t="s">
        <v>171</v>
      </c>
      <c r="C101" s="57">
        <v>196.4</v>
      </c>
      <c r="D101" s="57">
        <v>44.664158075601378</v>
      </c>
      <c r="E101" s="44">
        <v>0.71480957903780074</v>
      </c>
      <c r="F101" s="116">
        <v>22.3</v>
      </c>
    </row>
    <row r="102" spans="2:6">
      <c r="B102" s="1" t="s">
        <v>172</v>
      </c>
      <c r="C102" s="57">
        <v>2.8209999999999999E-11</v>
      </c>
      <c r="D102" s="57">
        <v>1.5101610824742272E-11</v>
      </c>
      <c r="E102" s="44">
        <v>1.2447388316151203E-14</v>
      </c>
      <c r="F102" s="116">
        <v>7.4699999999999995E-12</v>
      </c>
    </row>
    <row r="103" spans="2:6">
      <c r="B103" s="1" t="s">
        <v>173</v>
      </c>
      <c r="C103" s="57">
        <v>1.1949999999999999E-3</v>
      </c>
      <c r="D103" s="57">
        <v>3.6060816151202756E-5</v>
      </c>
      <c r="E103" s="44">
        <v>1.7481258591065291E-6</v>
      </c>
      <c r="F103" s="116">
        <v>1.8300000000000001E-5</v>
      </c>
    </row>
    <row r="104" spans="2:6">
      <c r="B104" s="1" t="s">
        <v>174</v>
      </c>
      <c r="C104" s="57">
        <v>1.072E-2</v>
      </c>
      <c r="D104" s="57">
        <v>5.0979377147766325E-4</v>
      </c>
      <c r="E104" s="44">
        <v>1.5833810137457047E-4</v>
      </c>
      <c r="F104" s="116">
        <v>2.7500000000000002E-4</v>
      </c>
    </row>
    <row r="106" spans="2:6" ht="15" thickBot="1"/>
    <row r="107" spans="2:6" ht="15" thickBot="1">
      <c r="B107" s="172" t="s">
        <v>579</v>
      </c>
      <c r="C107" s="173"/>
      <c r="D107" s="173"/>
      <c r="E107" s="174"/>
    </row>
    <row r="108" spans="2:6">
      <c r="B108" s="73" t="s">
        <v>179</v>
      </c>
      <c r="C108" s="136" t="s">
        <v>189</v>
      </c>
      <c r="D108" s="115" t="s">
        <v>590</v>
      </c>
      <c r="E108" s="115" t="s">
        <v>591</v>
      </c>
    </row>
    <row r="109" spans="2:6" ht="30.75" customHeight="1">
      <c r="B109" s="178" t="s">
        <v>600</v>
      </c>
      <c r="C109" s="180">
        <v>0.2</v>
      </c>
      <c r="D109" s="34" t="s">
        <v>789</v>
      </c>
      <c r="E109" s="137" t="s">
        <v>790</v>
      </c>
    </row>
    <row r="110" spans="2:6" ht="0.75" customHeight="1">
      <c r="B110" s="179"/>
      <c r="C110" s="181"/>
      <c r="D110" s="1"/>
      <c r="E110" s="1"/>
    </row>
    <row r="111" spans="2:6" ht="18" customHeight="1">
      <c r="B111" s="34" t="s">
        <v>595</v>
      </c>
      <c r="C111" s="133">
        <v>0</v>
      </c>
      <c r="D111" s="34" t="s">
        <v>791</v>
      </c>
      <c r="E111" s="137" t="s">
        <v>607</v>
      </c>
    </row>
    <row r="112" spans="2:6" ht="101.5">
      <c r="B112" s="138" t="s">
        <v>596</v>
      </c>
      <c r="C112" s="133" t="s">
        <v>763</v>
      </c>
      <c r="D112" s="36" t="s">
        <v>797</v>
      </c>
      <c r="E112" s="36" t="s">
        <v>792</v>
      </c>
    </row>
    <row r="113" spans="2:5">
      <c r="B113" s="34" t="s">
        <v>597</v>
      </c>
      <c r="C113" s="133">
        <v>1</v>
      </c>
      <c r="D113" s="1" t="s">
        <v>794</v>
      </c>
      <c r="E113" s="1" t="s">
        <v>592</v>
      </c>
    </row>
    <row r="114" spans="2:5" ht="101.5">
      <c r="B114" s="138" t="s">
        <v>598</v>
      </c>
      <c r="C114" s="133" t="s">
        <v>688</v>
      </c>
      <c r="D114" s="45" t="s">
        <v>796</v>
      </c>
      <c r="E114" s="45" t="s">
        <v>795</v>
      </c>
    </row>
    <row r="115" spans="2:5" ht="174">
      <c r="B115" s="34" t="s">
        <v>599</v>
      </c>
      <c r="C115" s="133" t="s">
        <v>766</v>
      </c>
      <c r="D115" s="36" t="s">
        <v>799</v>
      </c>
      <c r="E115" s="36" t="s">
        <v>798</v>
      </c>
    </row>
    <row r="116" spans="2:5" ht="15" thickBot="1"/>
    <row r="117" spans="2:5" ht="15" thickBot="1">
      <c r="B117" s="172" t="s">
        <v>580</v>
      </c>
      <c r="C117" s="173"/>
      <c r="D117" s="173"/>
      <c r="E117" s="174"/>
    </row>
    <row r="118" spans="2:5">
      <c r="B118" s="73" t="s">
        <v>179</v>
      </c>
      <c r="C118" s="136" t="s">
        <v>189</v>
      </c>
      <c r="D118" s="115" t="s">
        <v>590</v>
      </c>
      <c r="E118" s="115" t="s">
        <v>591</v>
      </c>
    </row>
    <row r="119" spans="2:5" ht="15" customHeight="1">
      <c r="B119" s="178" t="s">
        <v>600</v>
      </c>
      <c r="C119" s="180">
        <v>0.2</v>
      </c>
      <c r="D119" s="182" t="s">
        <v>800</v>
      </c>
      <c r="E119" s="184" t="s">
        <v>801</v>
      </c>
    </row>
    <row r="120" spans="2:5">
      <c r="B120" s="179"/>
      <c r="C120" s="181"/>
      <c r="D120" s="183"/>
      <c r="E120" s="185"/>
    </row>
    <row r="121" spans="2:5" ht="29">
      <c r="B121" s="34" t="s">
        <v>595</v>
      </c>
      <c r="C121" s="133">
        <v>0</v>
      </c>
      <c r="D121" s="34" t="s">
        <v>802</v>
      </c>
      <c r="E121" s="137" t="s">
        <v>803</v>
      </c>
    </row>
    <row r="122" spans="2:5" ht="45" customHeight="1">
      <c r="B122" s="138" t="s">
        <v>596</v>
      </c>
      <c r="C122" s="133" t="s">
        <v>771</v>
      </c>
      <c r="D122" s="37" t="s">
        <v>804</v>
      </c>
      <c r="E122" s="36" t="s">
        <v>805</v>
      </c>
    </row>
    <row r="123" spans="2:5">
      <c r="B123" s="34" t="s">
        <v>597</v>
      </c>
      <c r="C123" s="133">
        <v>1</v>
      </c>
      <c r="D123" s="1" t="s">
        <v>806</v>
      </c>
      <c r="E123" s="1" t="s">
        <v>592</v>
      </c>
    </row>
    <row r="124" spans="2:5" ht="159.5">
      <c r="B124" s="138" t="s">
        <v>598</v>
      </c>
      <c r="C124" s="133" t="s">
        <v>614</v>
      </c>
      <c r="D124" s="36" t="s">
        <v>807</v>
      </c>
      <c r="E124" s="45" t="s">
        <v>808</v>
      </c>
    </row>
    <row r="125" spans="2:5" ht="145">
      <c r="B125" s="34" t="s">
        <v>599</v>
      </c>
      <c r="C125" s="133" t="s">
        <v>776</v>
      </c>
      <c r="D125" s="37" t="s">
        <v>809</v>
      </c>
      <c r="E125" s="45" t="s">
        <v>810</v>
      </c>
    </row>
    <row r="126" spans="2:5" ht="15" thickBot="1"/>
    <row r="127" spans="2:5" ht="15" thickBot="1">
      <c r="B127" s="172" t="s">
        <v>584</v>
      </c>
      <c r="C127" s="173"/>
      <c r="D127" s="173"/>
      <c r="E127" s="174"/>
    </row>
    <row r="128" spans="2:5">
      <c r="B128" s="73" t="s">
        <v>179</v>
      </c>
      <c r="C128" s="136" t="s">
        <v>189</v>
      </c>
      <c r="D128" s="115" t="s">
        <v>590</v>
      </c>
      <c r="E128" s="115" t="s">
        <v>591</v>
      </c>
    </row>
    <row r="129" spans="2:5" ht="15" customHeight="1">
      <c r="B129" s="178" t="s">
        <v>600</v>
      </c>
      <c r="C129" s="180" t="s">
        <v>554</v>
      </c>
      <c r="D129" s="184" t="s">
        <v>812</v>
      </c>
      <c r="E129" s="184" t="s">
        <v>811</v>
      </c>
    </row>
    <row r="130" spans="2:5" ht="48.75" customHeight="1">
      <c r="B130" s="179"/>
      <c r="C130" s="181"/>
      <c r="D130" s="185"/>
      <c r="E130" s="185"/>
    </row>
    <row r="131" spans="2:5">
      <c r="B131" s="34" t="s">
        <v>595</v>
      </c>
      <c r="C131" s="133">
        <v>0</v>
      </c>
      <c r="D131" s="1" t="s">
        <v>802</v>
      </c>
      <c r="E131" s="1" t="s">
        <v>813</v>
      </c>
    </row>
    <row r="132" spans="2:5" ht="113.25" customHeight="1">
      <c r="B132" s="138" t="s">
        <v>596</v>
      </c>
      <c r="C132" s="133" t="s">
        <v>779</v>
      </c>
      <c r="D132" s="37" t="s">
        <v>814</v>
      </c>
      <c r="E132" s="36" t="s">
        <v>815</v>
      </c>
    </row>
    <row r="133" spans="2:5">
      <c r="B133" s="34" t="s">
        <v>597</v>
      </c>
      <c r="C133" s="133">
        <v>1</v>
      </c>
      <c r="D133" s="1" t="s">
        <v>806</v>
      </c>
      <c r="E133" s="1" t="s">
        <v>592</v>
      </c>
    </row>
    <row r="134" spans="2:5" ht="145">
      <c r="B134" s="138" t="s">
        <v>598</v>
      </c>
      <c r="C134" s="133" t="s">
        <v>784</v>
      </c>
      <c r="D134" s="36" t="s">
        <v>817</v>
      </c>
      <c r="E134" s="36" t="s">
        <v>816</v>
      </c>
    </row>
    <row r="135" spans="2:5" ht="130.5">
      <c r="B135" s="34" t="s">
        <v>599</v>
      </c>
      <c r="C135" s="133" t="s">
        <v>787</v>
      </c>
      <c r="D135" s="36" t="s">
        <v>819</v>
      </c>
      <c r="E135" s="36" t="s">
        <v>818</v>
      </c>
    </row>
    <row r="137" spans="2:5" ht="15" thickBot="1"/>
    <row r="138" spans="2:5" ht="15" thickBot="1">
      <c r="B138" s="129" t="s">
        <v>585</v>
      </c>
    </row>
    <row r="139" spans="2:5" ht="15" thickBot="1"/>
    <row r="140" spans="2:5" ht="15" thickBot="1">
      <c r="B140" s="169" t="s">
        <v>300</v>
      </c>
      <c r="C140" s="170"/>
      <c r="D140" s="170"/>
      <c r="E140" s="171"/>
    </row>
    <row r="141" spans="2:5" ht="15" thickBot="1"/>
    <row r="142" spans="2:5" ht="15" thickBot="1">
      <c r="B142" s="169" t="s">
        <v>586</v>
      </c>
      <c r="C142" s="170"/>
      <c r="D142" s="170"/>
      <c r="E142" s="171"/>
    </row>
    <row r="143" spans="2:5">
      <c r="B143" s="1" t="s">
        <v>162</v>
      </c>
      <c r="C143" s="58" t="s">
        <v>81</v>
      </c>
      <c r="D143" s="58" t="s">
        <v>175</v>
      </c>
      <c r="E143" s="58" t="s">
        <v>177</v>
      </c>
    </row>
    <row r="144" spans="2:5">
      <c r="B144" s="155" t="s">
        <v>163</v>
      </c>
      <c r="C144" s="156">
        <v>9.2199999999999998E-6</v>
      </c>
      <c r="D144" s="157">
        <v>3.8800000000000001E-6</v>
      </c>
      <c r="E144" s="156">
        <v>4.4900000000000002E-4</v>
      </c>
    </row>
    <row r="145" spans="2:5">
      <c r="B145" s="155" t="s">
        <v>164</v>
      </c>
      <c r="C145" s="156">
        <v>1030</v>
      </c>
      <c r="D145" s="157">
        <v>137</v>
      </c>
      <c r="E145" s="156">
        <v>1140</v>
      </c>
    </row>
    <row r="146" spans="2:5">
      <c r="B146" s="155" t="s">
        <v>165</v>
      </c>
      <c r="C146" s="156">
        <v>3.6299999999999999E-2</v>
      </c>
      <c r="D146" s="157">
        <v>6.1199999999999997E-2</v>
      </c>
      <c r="E146" s="156">
        <v>0.108</v>
      </c>
    </row>
    <row r="147" spans="2:5">
      <c r="B147" s="155" t="s">
        <v>166</v>
      </c>
      <c r="C147" s="156">
        <v>6.2300000000000003E-3</v>
      </c>
      <c r="D147" s="157">
        <v>6.8500000000000002E-3</v>
      </c>
      <c r="E147" s="156">
        <v>1.8100000000000002E-2</v>
      </c>
    </row>
    <row r="148" spans="2:5">
      <c r="B148" s="36" t="s">
        <v>167</v>
      </c>
      <c r="C148" s="44">
        <v>0.40500000000000003</v>
      </c>
      <c r="D148" s="57">
        <v>4.2299999999999997E-2</v>
      </c>
      <c r="E148" s="44">
        <v>0.10100000000000001</v>
      </c>
    </row>
    <row r="149" spans="2:5">
      <c r="B149" s="147" t="s">
        <v>168</v>
      </c>
      <c r="C149" s="150">
        <v>7.63</v>
      </c>
      <c r="D149" s="149">
        <v>10.199999999999999</v>
      </c>
      <c r="E149" s="150">
        <v>156</v>
      </c>
    </row>
    <row r="150" spans="2:5">
      <c r="B150" s="36" t="s">
        <v>169</v>
      </c>
      <c r="C150" s="44">
        <v>11.6</v>
      </c>
      <c r="D150" s="57">
        <v>10.6</v>
      </c>
      <c r="E150" s="44">
        <v>156</v>
      </c>
    </row>
    <row r="151" spans="2:5">
      <c r="B151" s="155" t="s">
        <v>170</v>
      </c>
      <c r="C151" s="156">
        <v>1.32</v>
      </c>
      <c r="D151" s="157">
        <v>0.52600000000000002</v>
      </c>
      <c r="E151" s="156">
        <v>4.6100000000000003</v>
      </c>
    </row>
    <row r="152" spans="2:5">
      <c r="B152" s="36" t="s">
        <v>171</v>
      </c>
      <c r="C152" s="44">
        <v>1330</v>
      </c>
      <c r="D152" s="57">
        <v>2210</v>
      </c>
      <c r="E152" s="44">
        <v>3890</v>
      </c>
    </row>
    <row r="153" spans="2:5">
      <c r="B153" s="155" t="s">
        <v>172</v>
      </c>
      <c r="C153" s="156">
        <v>6.2800000000000005E-11</v>
      </c>
      <c r="D153" s="157">
        <v>3.0099999999999998E-11</v>
      </c>
      <c r="E153" s="156">
        <v>5.2700000000000004E-10</v>
      </c>
    </row>
    <row r="154" spans="2:5">
      <c r="B154" s="155" t="s">
        <v>173</v>
      </c>
      <c r="C154" s="156">
        <v>5.4900000000000001E-3</v>
      </c>
      <c r="D154" s="157">
        <v>4.7699999999999999E-3</v>
      </c>
      <c r="E154" s="156">
        <v>9.3100000000000006E-3</v>
      </c>
    </row>
    <row r="155" spans="2:5">
      <c r="B155" s="36" t="s">
        <v>174</v>
      </c>
      <c r="C155" s="44">
        <v>0.152</v>
      </c>
      <c r="D155" s="57">
        <v>0.28299999999999997</v>
      </c>
      <c r="E155" s="44">
        <v>0.19500000000000001</v>
      </c>
    </row>
    <row r="156" spans="2:5" ht="15" thickBot="1"/>
    <row r="157" spans="2:5" ht="15" thickBot="1">
      <c r="B157" s="172" t="s">
        <v>587</v>
      </c>
      <c r="C157" s="173"/>
      <c r="D157" s="173"/>
      <c r="E157" s="174"/>
    </row>
    <row r="158" spans="2:5">
      <c r="B158" s="73" t="s">
        <v>179</v>
      </c>
      <c r="C158" s="136" t="s">
        <v>189</v>
      </c>
      <c r="D158" s="115" t="s">
        <v>590</v>
      </c>
      <c r="E158" s="115" t="s">
        <v>591</v>
      </c>
    </row>
    <row r="159" spans="2:5" ht="45" customHeight="1">
      <c r="B159" s="178" t="s">
        <v>600</v>
      </c>
      <c r="C159" s="180">
        <v>0.5</v>
      </c>
      <c r="D159" s="184" t="s">
        <v>594</v>
      </c>
      <c r="E159" s="184" t="s">
        <v>821</v>
      </c>
    </row>
    <row r="160" spans="2:5">
      <c r="B160" s="179"/>
      <c r="C160" s="181"/>
      <c r="D160" s="185"/>
      <c r="E160" s="185"/>
    </row>
    <row r="161" spans="2:6">
      <c r="B161" s="34" t="s">
        <v>595</v>
      </c>
      <c r="C161" s="133">
        <v>0</v>
      </c>
      <c r="D161" s="37" t="s">
        <v>802</v>
      </c>
      <c r="E161" s="137" t="s">
        <v>593</v>
      </c>
    </row>
    <row r="162" spans="2:6" ht="80.25" customHeight="1">
      <c r="B162" s="138" t="s">
        <v>596</v>
      </c>
      <c r="C162" s="133" t="s">
        <v>681</v>
      </c>
      <c r="D162" s="34" t="s">
        <v>682</v>
      </c>
      <c r="E162" s="36" t="s">
        <v>822</v>
      </c>
    </row>
    <row r="163" spans="2:6">
      <c r="B163" s="34" t="s">
        <v>597</v>
      </c>
      <c r="C163" s="133">
        <v>1</v>
      </c>
      <c r="D163" s="37" t="s">
        <v>806</v>
      </c>
      <c r="E163" s="137" t="s">
        <v>592</v>
      </c>
    </row>
    <row r="164" spans="2:6" ht="197.25" customHeight="1">
      <c r="B164" s="138" t="s">
        <v>598</v>
      </c>
      <c r="C164" s="135" t="s">
        <v>743</v>
      </c>
      <c r="D164" s="36" t="s">
        <v>758</v>
      </c>
      <c r="E164" s="36" t="s">
        <v>823</v>
      </c>
    </row>
    <row r="165" spans="2:6" ht="208.5" customHeight="1">
      <c r="B165" s="34" t="s">
        <v>599</v>
      </c>
      <c r="C165" s="135" t="s">
        <v>832</v>
      </c>
      <c r="D165" s="36" t="s">
        <v>825</v>
      </c>
      <c r="E165" s="36" t="s">
        <v>824</v>
      </c>
      <c r="F165" s="139"/>
    </row>
    <row r="166" spans="2:6" ht="15" thickBot="1"/>
    <row r="167" spans="2:6" ht="15" thickBot="1">
      <c r="B167" s="169" t="s">
        <v>213</v>
      </c>
      <c r="C167" s="170"/>
      <c r="D167" s="170"/>
      <c r="E167" s="171"/>
    </row>
    <row r="168" spans="2:6" ht="15" thickBot="1"/>
    <row r="169" spans="2:6" ht="15" thickBot="1">
      <c r="B169" s="169" t="s">
        <v>588</v>
      </c>
      <c r="C169" s="170"/>
      <c r="D169" s="170"/>
      <c r="E169" s="170"/>
      <c r="F169" s="171"/>
    </row>
    <row r="170" spans="2:6">
      <c r="B170" s="1" t="s">
        <v>162</v>
      </c>
      <c r="C170" s="58" t="s">
        <v>81</v>
      </c>
      <c r="D170" s="58" t="s">
        <v>288</v>
      </c>
      <c r="E170" s="58" t="s">
        <v>177</v>
      </c>
      <c r="F170" s="58" t="s">
        <v>175</v>
      </c>
    </row>
    <row r="171" spans="2:6">
      <c r="B171" s="36" t="s">
        <v>163</v>
      </c>
      <c r="C171" s="56">
        <v>7.2999999999999999E-5</v>
      </c>
      <c r="D171" s="57">
        <f>0.00000131+0.000000056+0.000000121</f>
        <v>1.4869999999999999E-6</v>
      </c>
      <c r="E171" s="44">
        <v>5.71E-4</v>
      </c>
      <c r="F171" s="44">
        <v>3.0899999999999997E-7</v>
      </c>
    </row>
    <row r="172" spans="2:6">
      <c r="B172" s="36" t="s">
        <v>164</v>
      </c>
      <c r="C172" s="56">
        <v>8470</v>
      </c>
      <c r="D172" s="57">
        <f>26.2+6.14+2.59</f>
        <v>34.929999999999993</v>
      </c>
      <c r="E172" s="44">
        <v>3970</v>
      </c>
      <c r="F172" s="44">
        <v>10.9</v>
      </c>
    </row>
    <row r="173" spans="2:6">
      <c r="B173" s="36" t="s">
        <v>165</v>
      </c>
      <c r="C173" s="56">
        <v>0.28899999999999998</v>
      </c>
      <c r="D173" s="57">
        <f>0.00342+0.000449+0.00038</f>
        <v>4.2490000000000002E-3</v>
      </c>
      <c r="E173" s="44">
        <v>0.441</v>
      </c>
      <c r="F173" s="44">
        <v>4.8700000000000002E-3</v>
      </c>
    </row>
    <row r="174" spans="2:6">
      <c r="B174" s="36" t="s">
        <v>166</v>
      </c>
      <c r="C174" s="56">
        <v>4.9399999999999999E-2</v>
      </c>
      <c r="D174" s="57">
        <f>0.000642+0.00119+0.000345</f>
        <v>2.1770000000000001E-3</v>
      </c>
      <c r="E174" s="44">
        <v>8.6300000000000002E-2</v>
      </c>
      <c r="F174" s="44">
        <v>5.4600000000000004E-4</v>
      </c>
    </row>
    <row r="175" spans="2:6">
      <c r="B175" s="36" t="s">
        <v>167</v>
      </c>
      <c r="C175" s="56">
        <v>3.29</v>
      </c>
      <c r="D175" s="57">
        <f>0.0041+0.000389+0.000433</f>
        <v>4.9220000000000002E-3</v>
      </c>
      <c r="E175" s="44">
        <v>0.56799999999999995</v>
      </c>
      <c r="F175" s="44">
        <v>3.3700000000000002E-3</v>
      </c>
    </row>
    <row r="176" spans="2:6">
      <c r="B176" s="147" t="s">
        <v>168</v>
      </c>
      <c r="C176" s="150">
        <v>84.6</v>
      </c>
      <c r="D176" s="149">
        <f>2.66+20.6+0.562</f>
        <v>23.822000000000003</v>
      </c>
      <c r="E176" s="150">
        <v>414</v>
      </c>
      <c r="F176" s="150">
        <v>0.81499999999999995</v>
      </c>
    </row>
    <row r="177" spans="2:6">
      <c r="B177" s="36" t="s">
        <v>169</v>
      </c>
      <c r="C177" s="56">
        <v>117</v>
      </c>
      <c r="D177" s="57"/>
      <c r="E177" s="44">
        <v>413</v>
      </c>
      <c r="F177" s="44">
        <v>0.84299999999999997</v>
      </c>
    </row>
    <row r="178" spans="2:6">
      <c r="B178" s="36" t="s">
        <v>170</v>
      </c>
      <c r="C178" s="56">
        <v>10.6</v>
      </c>
      <c r="D178" s="57">
        <f>7.72+0.00813+0.00863</f>
        <v>7.7367600000000003</v>
      </c>
      <c r="E178" s="44">
        <v>12.4</v>
      </c>
      <c r="F178" s="44">
        <v>4.19E-2</v>
      </c>
    </row>
    <row r="179" spans="2:6">
      <c r="B179" s="36" t="s">
        <v>171</v>
      </c>
      <c r="C179" s="56">
        <v>10200</v>
      </c>
      <c r="D179" s="57">
        <f>291+11.1+27.8</f>
        <v>329.90000000000003</v>
      </c>
      <c r="E179" s="44">
        <v>16400</v>
      </c>
      <c r="F179" s="44">
        <v>176</v>
      </c>
    </row>
    <row r="180" spans="2:6">
      <c r="B180" s="36" t="s">
        <v>172</v>
      </c>
      <c r="C180" s="56">
        <v>2.8999999999999998E-10</v>
      </c>
      <c r="D180" s="57">
        <f>0.000000000068+0.000000000000818+0.00000000000617</f>
        <v>7.4988E-11</v>
      </c>
      <c r="E180" s="44">
        <v>3.2599999999999999E-9</v>
      </c>
      <c r="F180" s="44">
        <v>2.3900000000000001E-12</v>
      </c>
    </row>
    <row r="181" spans="2:6">
      <c r="B181" s="36" t="s">
        <v>173</v>
      </c>
      <c r="C181" s="56">
        <v>4.4400000000000002E-2</v>
      </c>
      <c r="D181" s="57">
        <f>0.000237+0.000316+0.000095</f>
        <v>6.4800000000000003E-4</v>
      </c>
      <c r="E181" s="44">
        <v>4.2599999999999999E-2</v>
      </c>
      <c r="F181" s="44">
        <v>3.8000000000000002E-4</v>
      </c>
    </row>
    <row r="182" spans="2:6">
      <c r="B182" s="36" t="s">
        <v>174</v>
      </c>
      <c r="C182" s="56">
        <v>1.24</v>
      </c>
      <c r="D182" s="57">
        <f>0.003+0.00196+0.000648</f>
        <v>5.6080000000000001E-3</v>
      </c>
      <c r="E182" s="44">
        <v>0.41299999999999998</v>
      </c>
      <c r="F182" s="44">
        <v>2.2599999999999999E-2</v>
      </c>
    </row>
    <row r="183" spans="2:6" ht="15" thickBot="1"/>
    <row r="184" spans="2:6" ht="15" thickBot="1">
      <c r="B184" s="172" t="s">
        <v>589</v>
      </c>
      <c r="C184" s="173"/>
      <c r="D184" s="173"/>
      <c r="E184" s="174"/>
    </row>
    <row r="185" spans="2:6">
      <c r="B185" s="73" t="s">
        <v>179</v>
      </c>
      <c r="C185" s="136" t="s">
        <v>189</v>
      </c>
      <c r="D185" s="115" t="s">
        <v>590</v>
      </c>
      <c r="E185" s="115" t="s">
        <v>591</v>
      </c>
    </row>
    <row r="186" spans="2:6">
      <c r="B186" s="178" t="s">
        <v>600</v>
      </c>
      <c r="C186" s="180" t="s">
        <v>293</v>
      </c>
      <c r="D186" s="184" t="s">
        <v>847</v>
      </c>
      <c r="E186" s="184" t="s">
        <v>846</v>
      </c>
    </row>
    <row r="187" spans="2:6">
      <c r="B187" s="179"/>
      <c r="C187" s="181"/>
      <c r="D187" s="185"/>
      <c r="E187" s="185"/>
    </row>
    <row r="188" spans="2:6" ht="58">
      <c r="B188" s="34" t="s">
        <v>595</v>
      </c>
      <c r="C188" s="133">
        <v>0.6</v>
      </c>
      <c r="D188" s="36" t="s">
        <v>848</v>
      </c>
      <c r="E188" s="36" t="s">
        <v>606</v>
      </c>
    </row>
    <row r="189" spans="2:6" ht="273.75" customHeight="1">
      <c r="B189" s="138" t="s">
        <v>596</v>
      </c>
      <c r="C189" s="133" t="s">
        <v>747</v>
      </c>
      <c r="D189" s="34" t="s">
        <v>851</v>
      </c>
      <c r="E189" s="36" t="s">
        <v>850</v>
      </c>
    </row>
    <row r="190" spans="2:6">
      <c r="B190" s="34" t="s">
        <v>597</v>
      </c>
      <c r="C190" s="133">
        <v>1</v>
      </c>
      <c r="D190" s="1" t="s">
        <v>849</v>
      </c>
      <c r="E190" s="1" t="s">
        <v>592</v>
      </c>
    </row>
    <row r="191" spans="2:6" ht="69.75" customHeight="1">
      <c r="B191" s="81" t="s">
        <v>598</v>
      </c>
      <c r="C191" s="133" t="s">
        <v>743</v>
      </c>
      <c r="D191" s="36" t="s">
        <v>853</v>
      </c>
      <c r="E191" s="45" t="s">
        <v>852</v>
      </c>
    </row>
    <row r="192" spans="2:6" ht="72" customHeight="1">
      <c r="B192" s="34" t="s">
        <v>599</v>
      </c>
      <c r="C192" s="133" t="s">
        <v>845</v>
      </c>
      <c r="D192" s="36" t="s">
        <v>855</v>
      </c>
      <c r="E192" s="36" t="s">
        <v>854</v>
      </c>
    </row>
  </sheetData>
  <mergeCells count="42">
    <mergeCell ref="B186:B187"/>
    <mergeCell ref="C186:C187"/>
    <mergeCell ref="B169:F169"/>
    <mergeCell ref="B142:E142"/>
    <mergeCell ref="B159:B160"/>
    <mergeCell ref="C159:C160"/>
    <mergeCell ref="B167:E167"/>
    <mergeCell ref="B157:E157"/>
    <mergeCell ref="B184:E184"/>
    <mergeCell ref="D159:D160"/>
    <mergeCell ref="E159:E160"/>
    <mergeCell ref="D186:D187"/>
    <mergeCell ref="E186:E187"/>
    <mergeCell ref="B140:E140"/>
    <mergeCell ref="B91:F91"/>
    <mergeCell ref="B109:B110"/>
    <mergeCell ref="C109:C110"/>
    <mergeCell ref="B127:E127"/>
    <mergeCell ref="B119:B120"/>
    <mergeCell ref="C119:C120"/>
    <mergeCell ref="B129:B130"/>
    <mergeCell ref="C129:C130"/>
    <mergeCell ref="D119:D120"/>
    <mergeCell ref="E119:E120"/>
    <mergeCell ref="D129:D130"/>
    <mergeCell ref="E129:E130"/>
    <mergeCell ref="B4:E4"/>
    <mergeCell ref="B37:E37"/>
    <mergeCell ref="B47:E47"/>
    <mergeCell ref="B107:E107"/>
    <mergeCell ref="B117:E117"/>
    <mergeCell ref="B76:E76"/>
    <mergeCell ref="B6:E6"/>
    <mergeCell ref="B21:E21"/>
    <mergeCell ref="B39:B40"/>
    <mergeCell ref="C39:C40"/>
    <mergeCell ref="B49:B50"/>
    <mergeCell ref="C49:C50"/>
    <mergeCell ref="B58:E58"/>
    <mergeCell ref="B61:E61"/>
    <mergeCell ref="D49:D50"/>
    <mergeCell ref="E49:E5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0EC7-1BC4-45AB-9851-5351B74C0381}">
  <dimension ref="A1:J41"/>
  <sheetViews>
    <sheetView zoomScale="78" zoomScaleNormal="115" workbookViewId="0">
      <selection activeCell="B12" sqref="B12"/>
    </sheetView>
  </sheetViews>
  <sheetFormatPr defaultColWidth="9.1796875" defaultRowHeight="14.5"/>
  <cols>
    <col min="1" max="1" width="24.7265625" customWidth="1"/>
    <col min="2" max="2" width="20.81640625" customWidth="1"/>
    <col min="3" max="3" width="19.1796875" customWidth="1"/>
    <col min="4" max="4" width="21" customWidth="1"/>
    <col min="5" max="5" width="22.1796875" customWidth="1"/>
    <col min="6" max="6" width="26.54296875" customWidth="1"/>
    <col min="7" max="7" width="18.453125" customWidth="1"/>
    <col min="8" max="8" width="20.26953125" customWidth="1"/>
    <col min="9" max="9" width="28" customWidth="1"/>
    <col min="10" max="10" width="25.1796875" customWidth="1"/>
  </cols>
  <sheetData>
    <row r="1" spans="1:10">
      <c r="A1" t="s">
        <v>79</v>
      </c>
      <c r="B1" t="s">
        <v>672</v>
      </c>
      <c r="C1" t="s">
        <v>673</v>
      </c>
      <c r="D1" t="s">
        <v>674</v>
      </c>
      <c r="E1" t="s">
        <v>675</v>
      </c>
      <c r="F1" t="s">
        <v>676</v>
      </c>
      <c r="G1" s="158" t="s">
        <v>670</v>
      </c>
      <c r="H1" s="158" t="s">
        <v>671</v>
      </c>
      <c r="I1" s="159" t="s">
        <v>698</v>
      </c>
      <c r="J1" s="159" t="s">
        <v>697</v>
      </c>
    </row>
    <row r="2" spans="1:10">
      <c r="A2" t="s">
        <v>699</v>
      </c>
      <c r="B2">
        <v>0</v>
      </c>
      <c r="C2">
        <v>0</v>
      </c>
      <c r="D2">
        <v>0</v>
      </c>
      <c r="E2">
        <v>0</v>
      </c>
      <c r="F2" s="153">
        <f>'CFF Clean Data'!F98</f>
        <v>0.186</v>
      </c>
      <c r="G2">
        <v>0</v>
      </c>
      <c r="H2" s="153">
        <f>'CFF Clean Data'!D176</f>
        <v>23.822000000000003</v>
      </c>
      <c r="I2">
        <f t="shared" ref="I2:I8" si="0">(0.95*B2)+(0.05*C2)</f>
        <v>0</v>
      </c>
      <c r="J2" s="153">
        <f>(0.54*D2)+(0.045*E2)+(0.415*F2)</f>
        <v>7.7189999999999995E-2</v>
      </c>
    </row>
    <row r="3" spans="1:10">
      <c r="A3" t="s">
        <v>700</v>
      </c>
      <c r="B3">
        <f>'CFF Clean Data'!C13</f>
        <v>1.331</v>
      </c>
      <c r="C3">
        <f>'CFF Clean Data'!C28</f>
        <v>0.42699999999999999</v>
      </c>
      <c r="D3" s="153">
        <f>'CFF Clean Data'!D68</f>
        <v>0.72699999999999998</v>
      </c>
      <c r="E3" s="153">
        <f>'CFF Clean Data'!D83</f>
        <v>0.40467270881237499</v>
      </c>
      <c r="F3" s="153">
        <f>'CFF Clean Data'!D98</f>
        <v>0.369760652920962</v>
      </c>
      <c r="G3" s="153">
        <f>'CFF Clean Data'!C149</f>
        <v>7.63</v>
      </c>
      <c r="H3" s="153">
        <f>'CFF Clean Data'!C176</f>
        <v>84.6</v>
      </c>
      <c r="I3">
        <f t="shared" si="0"/>
        <v>1.2857999999999998</v>
      </c>
      <c r="J3" s="153">
        <f>(0.54*D3)+(0.045*E3)+(0.415*F3)</f>
        <v>0.56424094285875614</v>
      </c>
    </row>
    <row r="4" spans="1:10">
      <c r="A4" t="s">
        <v>701</v>
      </c>
      <c r="B4" s="153">
        <f>'CFF Clean Data'!D13</f>
        <v>1.1809999999999999E-2</v>
      </c>
      <c r="C4" s="153">
        <f>'CFF Clean Data'!D28</f>
        <v>5.6899999999999995E-4</v>
      </c>
      <c r="D4" s="153">
        <f>'CFF Clean Data'!E68</f>
        <v>6.4535213032581498E-3</v>
      </c>
      <c r="E4" s="153">
        <f>'CFF Clean Data'!E83</f>
        <v>5.3881952326901195E-4</v>
      </c>
      <c r="F4" s="153">
        <f>'CFF Clean Data'!E98</f>
        <v>7.4501280068728498E-3</v>
      </c>
      <c r="G4" s="153">
        <f>'CFF Clean Data'!D149</f>
        <v>10.199999999999999</v>
      </c>
      <c r="H4" s="153">
        <f>'CFF Clean Data'!F176</f>
        <v>0.81499999999999995</v>
      </c>
      <c r="I4" s="153">
        <f t="shared" si="0"/>
        <v>1.1247949999999998E-2</v>
      </c>
      <c r="J4" s="153">
        <f>(0.54*D4)+(0.045*E4)+(0.415*F4)</f>
        <v>6.6009515051587394E-3</v>
      </c>
    </row>
    <row r="5" spans="1:10">
      <c r="A5" t="s">
        <v>702</v>
      </c>
      <c r="B5" s="153">
        <f>'CFF Clean Data'!E13</f>
        <v>62.7</v>
      </c>
      <c r="C5" s="153">
        <f>'CFF Clean Data'!E28</f>
        <v>0.81599999999999995</v>
      </c>
      <c r="D5" s="153">
        <f>'CFF Clean Data'!C68</f>
        <v>37.14</v>
      </c>
      <c r="E5" s="153">
        <f>'CFF Clean Data'!C83</f>
        <v>0.77300000000000002</v>
      </c>
      <c r="F5" s="153">
        <f>'CFF Clean Data'!C98</f>
        <v>3.83</v>
      </c>
      <c r="G5" s="153">
        <f>'CFF Clean Data'!E149</f>
        <v>156</v>
      </c>
      <c r="H5" s="153">
        <f>'CFF Clean Data'!E176</f>
        <v>414</v>
      </c>
      <c r="I5" s="153">
        <f t="shared" si="0"/>
        <v>59.605799999999995</v>
      </c>
      <c r="J5" s="153">
        <f>(0.54*D5)+(0.045*E5)+(0.415*F5)</f>
        <v>21.679835000000001</v>
      </c>
    </row>
    <row r="6" spans="1:10">
      <c r="A6" t="s">
        <v>703</v>
      </c>
      <c r="B6" s="153">
        <f>'CFF Clean Data'!E13</f>
        <v>62.7</v>
      </c>
      <c r="C6" s="153">
        <f>'CFF Clean Data'!E28</f>
        <v>0.81599999999999995</v>
      </c>
      <c r="D6" s="153">
        <f>'CFF Clean Data'!C68</f>
        <v>37.14</v>
      </c>
      <c r="E6" s="153">
        <f>'CFF Clean Data'!C83</f>
        <v>0.77300000000000002</v>
      </c>
      <c r="F6" s="153">
        <f>'CFF Clean Data'!C98</f>
        <v>3.83</v>
      </c>
      <c r="G6" s="153">
        <f>'CFF Clean Data'!E149</f>
        <v>156</v>
      </c>
      <c r="H6" s="153">
        <f>'CFF Clean Data'!E176</f>
        <v>414</v>
      </c>
      <c r="I6" s="153">
        <f t="shared" si="0"/>
        <v>59.605799999999995</v>
      </c>
      <c r="J6" s="153">
        <f>(0.54*D6)+(0.045*E6)+(0.415*F6)</f>
        <v>21.679835000000001</v>
      </c>
    </row>
    <row r="7" spans="1:10">
      <c r="A7" t="s">
        <v>705</v>
      </c>
      <c r="B7">
        <v>0</v>
      </c>
      <c r="C7">
        <v>0</v>
      </c>
      <c r="D7">
        <v>0</v>
      </c>
      <c r="E7">
        <v>0</v>
      </c>
      <c r="F7" s="153">
        <f>'CFF Clean Data'!F93</f>
        <v>1.8E-7</v>
      </c>
      <c r="G7">
        <v>0</v>
      </c>
      <c r="H7" s="153">
        <f>'CFF Clean Data'!D171</f>
        <v>1.4869999999999999E-6</v>
      </c>
      <c r="I7" s="153">
        <f t="shared" si="0"/>
        <v>0</v>
      </c>
      <c r="J7" s="153">
        <f t="shared" ref="J7:J41" si="1">(0.54*D7)+(0.045*E7)+(0.415*F7)</f>
        <v>7.4700000000000001E-8</v>
      </c>
    </row>
    <row r="8" spans="1:10">
      <c r="A8" t="s">
        <v>704</v>
      </c>
      <c r="B8">
        <f>'CFF Clean Data'!C8</f>
        <v>4.6599999999999994E-6</v>
      </c>
      <c r="C8">
        <f>'CFF Clean Data'!C23</f>
        <v>3.2300000000000002E-7</v>
      </c>
      <c r="D8" s="153">
        <f>'CFF Clean Data'!D63</f>
        <v>2.5474999999999997E-6</v>
      </c>
      <c r="E8" s="153">
        <f>'CFF Clean Data'!D78</f>
        <v>3.0667124555797766E-7</v>
      </c>
      <c r="F8" s="153">
        <f>'CFF Clean Data'!D93</f>
        <v>2.8738823024054981E-7</v>
      </c>
      <c r="G8" s="153">
        <f>'CFF Clean Data'!C144</f>
        <v>9.2199999999999998E-6</v>
      </c>
      <c r="H8">
        <f>'CFF Clean Data'!C171</f>
        <v>7.2999999999999999E-5</v>
      </c>
      <c r="I8" s="153">
        <f t="shared" si="0"/>
        <v>4.4431499999999991E-6</v>
      </c>
      <c r="J8" s="153">
        <f t="shared" si="1"/>
        <v>1.5087163215999372E-6</v>
      </c>
    </row>
    <row r="9" spans="1:10">
      <c r="A9" t="s">
        <v>718</v>
      </c>
      <c r="B9" s="153">
        <f>'CFF Clean Data'!D8</f>
        <v>2.2580000000000003E-9</v>
      </c>
      <c r="C9" s="153">
        <f>'CFF Clean Data'!D23</f>
        <v>1.09E-10</v>
      </c>
      <c r="D9" s="153">
        <f>'CFF Clean Data'!E63</f>
        <v>1.2376152882205513E-9</v>
      </c>
      <c r="E9" s="153">
        <f>'CFF Clean Data'!E78</f>
        <v>1.0336265607264472E-10</v>
      </c>
      <c r="F9" s="153">
        <f>'CFF Clean Data'!E93</f>
        <v>1.4460936426116838E-9</v>
      </c>
      <c r="G9" s="153">
        <f>'CFF Clean Data'!D144</f>
        <v>3.8800000000000001E-6</v>
      </c>
      <c r="H9" s="153">
        <f>'CFF Clean Data'!F171</f>
        <v>3.0899999999999997E-7</v>
      </c>
      <c r="I9" s="153">
        <f t="shared" ref="I9:I41" si="2">(0.95*B9)+(0.05*C9)</f>
        <v>2.1505499999999998E-9</v>
      </c>
      <c r="J9" s="153">
        <f t="shared" si="1"/>
        <v>1.2730924368462154E-9</v>
      </c>
    </row>
    <row r="10" spans="1:10">
      <c r="A10" t="s">
        <v>706</v>
      </c>
      <c r="B10" s="153">
        <f>'CFF Clean Data'!E8</f>
        <v>1.7729999999999998E-5</v>
      </c>
      <c r="C10" s="153">
        <f>'CFF Clean Data'!E23</f>
        <v>1.1700000000000001E-8</v>
      </c>
      <c r="D10" s="153">
        <f>'CFF Clean Data'!C63</f>
        <v>1.0499999999999999E-5</v>
      </c>
      <c r="E10" s="153">
        <f>'CFF Clean Data'!C78</f>
        <v>1.11E-8</v>
      </c>
      <c r="F10" s="153">
        <f>'CFF Clean Data'!C93</f>
        <v>1.1346699999999999E-4</v>
      </c>
      <c r="G10" s="153">
        <f>'CFF Clean Data'!E144</f>
        <v>4.4900000000000002E-4</v>
      </c>
      <c r="H10" s="153">
        <f>'CFF Clean Data'!E171</f>
        <v>5.71E-4</v>
      </c>
      <c r="I10" s="153">
        <f t="shared" si="2"/>
        <v>1.6844084999999999E-5</v>
      </c>
      <c r="J10" s="153">
        <f t="shared" si="1"/>
        <v>5.2759304499999997E-5</v>
      </c>
    </row>
    <row r="11" spans="1:10">
      <c r="A11" t="s">
        <v>707</v>
      </c>
      <c r="B11" s="153">
        <f>'CFF Clean Data'!E8</f>
        <v>1.7729999999999998E-5</v>
      </c>
      <c r="C11" s="153">
        <f>'CFF Clean Data'!E23</f>
        <v>1.1700000000000001E-8</v>
      </c>
      <c r="D11" s="153">
        <f>'CFF Clean Data'!C63</f>
        <v>1.0499999999999999E-5</v>
      </c>
      <c r="E11" s="153">
        <f>'CFF Clean Data'!C78</f>
        <v>1.11E-8</v>
      </c>
      <c r="F11" s="153">
        <f>'CFF Clean Data'!C93</f>
        <v>1.1346699999999999E-4</v>
      </c>
      <c r="G11" s="153">
        <f>'CFF Clean Data'!E144</f>
        <v>4.4900000000000002E-4</v>
      </c>
      <c r="H11" s="153">
        <f>'CFF Clean Data'!E171</f>
        <v>5.71E-4</v>
      </c>
      <c r="I11" s="153">
        <f t="shared" si="2"/>
        <v>1.6844084999999999E-5</v>
      </c>
      <c r="J11" s="153">
        <f t="shared" si="1"/>
        <v>5.2759304499999997E-5</v>
      </c>
    </row>
    <row r="12" spans="1:10">
      <c r="A12" t="s">
        <v>708</v>
      </c>
      <c r="B12">
        <v>0</v>
      </c>
      <c r="C12">
        <v>0</v>
      </c>
      <c r="D12">
        <v>0</v>
      </c>
      <c r="E12">
        <v>0</v>
      </c>
      <c r="F12" s="153">
        <f>'CFF Clean Data'!F94</f>
        <v>1.88</v>
      </c>
      <c r="G12">
        <v>0</v>
      </c>
      <c r="H12" s="153">
        <f>'CFF Clean Data'!D172</f>
        <v>34.929999999999993</v>
      </c>
      <c r="I12" s="153">
        <f t="shared" si="2"/>
        <v>0</v>
      </c>
      <c r="J12" s="153">
        <f t="shared" si="1"/>
        <v>0.78019999999999989</v>
      </c>
    </row>
    <row r="13" spans="1:10">
      <c r="A13" t="s">
        <v>709</v>
      </c>
      <c r="B13">
        <f>'CFF Clean Data'!C9</f>
        <v>13.58</v>
      </c>
      <c r="C13">
        <f>'CFF Clean Data'!C24</f>
        <v>4.24</v>
      </c>
      <c r="D13" s="153">
        <f>'CFF Clean Data'!D64</f>
        <v>7.4266666666666659</v>
      </c>
      <c r="E13" s="153">
        <f>'CFF Clean Data'!D79</f>
        <v>4.0200600232926211</v>
      </c>
      <c r="F13" s="153">
        <f>'CFF Clean Data'!D94</f>
        <v>3.7250640034364264</v>
      </c>
      <c r="G13" s="153">
        <f>'CFF Clean Data'!C145</f>
        <v>1030</v>
      </c>
      <c r="H13">
        <f>'CFF Clean Data'!C172</f>
        <v>8470</v>
      </c>
      <c r="I13" s="153">
        <f t="shared" si="2"/>
        <v>13.113</v>
      </c>
      <c r="J13" s="153">
        <f t="shared" si="1"/>
        <v>5.7372042624742843</v>
      </c>
    </row>
    <row r="14" spans="1:10">
      <c r="A14" t="s">
        <v>717</v>
      </c>
      <c r="B14" s="153">
        <f>'CFF Clean Data'!D9</f>
        <v>0.1709</v>
      </c>
      <c r="C14" s="153">
        <f>'CFF Clean Data'!D24</f>
        <v>8.2400000000000008E-3</v>
      </c>
      <c r="D14" s="153">
        <f>'CFF Clean Data'!E64</f>
        <v>9.346012531328321E-2</v>
      </c>
      <c r="E14" s="153">
        <f>'CFF Clean Data'!E79</f>
        <v>7.8022133938706016E-3</v>
      </c>
      <c r="F14" s="153">
        <f>'CFF Clean Data'!E94</f>
        <v>0.10799939862542955</v>
      </c>
      <c r="G14" s="153">
        <f>'CFF Clean Data'!D145</f>
        <v>137</v>
      </c>
      <c r="H14" s="153">
        <f>'CFF Clean Data'!F172</f>
        <v>10.9</v>
      </c>
      <c r="I14" s="153">
        <f t="shared" si="2"/>
        <v>0.162767</v>
      </c>
      <c r="J14" s="153">
        <f t="shared" si="1"/>
        <v>9.5639317701450371E-2</v>
      </c>
    </row>
    <row r="15" spans="1:10">
      <c r="A15" t="s">
        <v>710</v>
      </c>
      <c r="B15" s="153">
        <f>'CFF Clean Data'!E9</f>
        <v>684</v>
      </c>
      <c r="C15" s="153">
        <f>'CFF Clean Data'!E24</f>
        <v>7.3</v>
      </c>
      <c r="D15" s="153">
        <f>'CFF Clean Data'!C64</f>
        <v>405</v>
      </c>
      <c r="E15" s="153">
        <f>'CFF Clean Data'!C79</f>
        <v>6.91</v>
      </c>
      <c r="F15" s="153">
        <f>'CFF Clean Data'!C94</f>
        <v>98.300000000000011</v>
      </c>
      <c r="G15" s="153">
        <f>'CFF Clean Data'!E145</f>
        <v>1140</v>
      </c>
      <c r="H15" s="153">
        <f>'CFF Clean Data'!E172</f>
        <v>3970</v>
      </c>
      <c r="I15" s="153">
        <f t="shared" si="2"/>
        <v>650.16499999999996</v>
      </c>
      <c r="J15" s="153">
        <f t="shared" si="1"/>
        <v>259.80545000000001</v>
      </c>
    </row>
    <row r="16" spans="1:10">
      <c r="A16" t="s">
        <v>711</v>
      </c>
      <c r="B16" s="153">
        <f>'CFF Clean Data'!E9</f>
        <v>684</v>
      </c>
      <c r="C16" s="153">
        <f>'CFF Clean Data'!E24</f>
        <v>7.3</v>
      </c>
      <c r="D16" s="153">
        <f>'CFF Clean Data'!C64</f>
        <v>405</v>
      </c>
      <c r="E16" s="153">
        <f>'CFF Clean Data'!C79</f>
        <v>6.91</v>
      </c>
      <c r="F16" s="153">
        <f>'CFF Clean Data'!C94</f>
        <v>98.300000000000011</v>
      </c>
      <c r="G16" s="153">
        <f>'CFF Clean Data'!E145</f>
        <v>1140</v>
      </c>
      <c r="H16" s="153">
        <f>'CFF Clean Data'!E172</f>
        <v>3970</v>
      </c>
      <c r="I16" s="153">
        <f t="shared" si="2"/>
        <v>650.16499999999996</v>
      </c>
      <c r="J16" s="153">
        <f t="shared" si="1"/>
        <v>259.80545000000001</v>
      </c>
    </row>
    <row r="17" spans="1:10" ht="13.5" customHeight="1">
      <c r="A17" t="s">
        <v>712</v>
      </c>
      <c r="B17">
        <v>0</v>
      </c>
      <c r="C17">
        <v>0</v>
      </c>
      <c r="D17">
        <v>0</v>
      </c>
      <c r="E17">
        <v>0</v>
      </c>
      <c r="F17" s="153">
        <f>'CFF Clean Data'!F95</f>
        <v>2.7399999999999999E-4</v>
      </c>
      <c r="G17" s="153">
        <v>0</v>
      </c>
      <c r="H17" s="153">
        <f>'CFF Clean Data'!D173</f>
        <v>4.2490000000000002E-3</v>
      </c>
      <c r="I17" s="153">
        <f t="shared" si="2"/>
        <v>0</v>
      </c>
      <c r="J17" s="153">
        <f t="shared" si="1"/>
        <v>1.1370999999999999E-4</v>
      </c>
    </row>
    <row r="18" spans="1:10">
      <c r="A18" t="s">
        <v>713</v>
      </c>
      <c r="B18">
        <f>'CFF Clean Data'!C10</f>
        <v>2.0109999999999998E-3</v>
      </c>
      <c r="C18">
        <f>'CFF Clean Data'!C25</f>
        <v>6.11E-4</v>
      </c>
      <c r="D18" s="153">
        <f>'CFF Clean Data'!D65</f>
        <v>1.0983333333333333E-3</v>
      </c>
      <c r="E18" s="153">
        <f>'CFF Clean Data'!D80</f>
        <v>5.7934198345626655E-4</v>
      </c>
      <c r="F18" s="153">
        <f>'CFF Clean Data'!D95</f>
        <v>5.4182749140893464E-4</v>
      </c>
      <c r="G18" s="153">
        <f>'CFF Clean Data'!C146</f>
        <v>3.6299999999999999E-2</v>
      </c>
      <c r="H18">
        <f>'CFF Clean Data'!C173</f>
        <v>0.28899999999999998</v>
      </c>
      <c r="I18" s="153">
        <f t="shared" si="2"/>
        <v>1.9409999999999998E-3</v>
      </c>
      <c r="J18" s="153">
        <f t="shared" si="1"/>
        <v>8.4402879819023995E-4</v>
      </c>
    </row>
    <row r="19" spans="1:10">
      <c r="A19" t="s">
        <v>714</v>
      </c>
      <c r="B19" s="153">
        <f>'CFF Clean Data'!D10</f>
        <v>3.1900000000000003E-5</v>
      </c>
      <c r="C19" s="153">
        <f>'CFF Clean Data'!D25</f>
        <v>1.5400000000000001E-6</v>
      </c>
      <c r="D19" s="153">
        <f>'CFF Clean Data'!E65</f>
        <v>1.7452694235588974E-5</v>
      </c>
      <c r="E19" s="153">
        <f>'CFF Clean Data'!E80</f>
        <v>1.4537457434733258E-6</v>
      </c>
      <c r="F19" s="153">
        <f>'CFF Clean Data'!E95</f>
        <v>1.9128707044673542E-5</v>
      </c>
      <c r="G19" s="153">
        <f>'CFF Clean Data'!D146</f>
        <v>6.1199999999999997E-2</v>
      </c>
      <c r="H19" s="153">
        <f>'CFF Clean Data'!F173</f>
        <v>4.8700000000000002E-3</v>
      </c>
      <c r="I19" s="153">
        <f t="shared" si="2"/>
        <v>3.0382000000000002E-5</v>
      </c>
      <c r="J19" s="153">
        <f t="shared" si="1"/>
        <v>1.7428286869213866E-5</v>
      </c>
    </row>
    <row r="20" spans="1:10">
      <c r="A20" t="s">
        <v>715</v>
      </c>
      <c r="B20" s="153">
        <f>'CFF Clean Data'!E10</f>
        <v>0.1956</v>
      </c>
      <c r="C20" s="153">
        <f>'CFF Clean Data'!E25</f>
        <v>1.74E-3</v>
      </c>
      <c r="D20" s="153">
        <f>'CFF Clean Data'!C65</f>
        <v>0.11600000000000001</v>
      </c>
      <c r="E20" s="153">
        <f>'CFF Clean Data'!C80</f>
        <v>1.65E-3</v>
      </c>
      <c r="F20" s="153">
        <f>'CFF Clean Data'!C95</f>
        <v>1.6309999999999998E-2</v>
      </c>
      <c r="G20" s="153">
        <f>'CFF Clean Data'!E146</f>
        <v>0.108</v>
      </c>
      <c r="H20" s="153">
        <f>'CFF Clean Data'!E173</f>
        <v>0.441</v>
      </c>
      <c r="I20" s="153">
        <f t="shared" si="2"/>
        <v>0.18590699999999999</v>
      </c>
      <c r="J20" s="153">
        <f t="shared" si="1"/>
        <v>6.94829E-2</v>
      </c>
    </row>
    <row r="21" spans="1:10">
      <c r="A21" t="s">
        <v>716</v>
      </c>
      <c r="B21" s="153">
        <f>'CFF Clean Data'!E10</f>
        <v>0.1956</v>
      </c>
      <c r="C21" s="153">
        <f>'CFF Clean Data'!E25</f>
        <v>1.74E-3</v>
      </c>
      <c r="D21" s="153">
        <f>'CFF Clean Data'!C65</f>
        <v>0.11600000000000001</v>
      </c>
      <c r="E21" s="153">
        <f>'CFF Clean Data'!C80</f>
        <v>1.65E-3</v>
      </c>
      <c r="F21" s="153">
        <f>'CFF Clean Data'!C95</f>
        <v>1.6309999999999998E-2</v>
      </c>
      <c r="G21" s="153">
        <f>'CFF Clean Data'!E146</f>
        <v>0.108</v>
      </c>
      <c r="H21" s="153">
        <f>'CFF Clean Data'!E173</f>
        <v>0.441</v>
      </c>
      <c r="I21" s="153">
        <f t="shared" si="2"/>
        <v>0.18590699999999999</v>
      </c>
      <c r="J21" s="153">
        <f t="shared" si="1"/>
        <v>6.94829E-2</v>
      </c>
    </row>
    <row r="22" spans="1:10">
      <c r="A22" t="s">
        <v>719</v>
      </c>
      <c r="B22">
        <v>0</v>
      </c>
      <c r="C22">
        <v>0</v>
      </c>
      <c r="D22">
        <v>0</v>
      </c>
      <c r="E22">
        <v>0</v>
      </c>
      <c r="F22" s="153">
        <f>'CFF Clean Data'!F96</f>
        <v>5.3699999999999997E-5</v>
      </c>
      <c r="G22">
        <v>0</v>
      </c>
      <c r="H22" s="153">
        <f>'CFF Clean Data'!D174</f>
        <v>2.1770000000000001E-3</v>
      </c>
      <c r="I22" s="153">
        <f t="shared" si="2"/>
        <v>0</v>
      </c>
      <c r="J22" s="153">
        <f t="shared" si="1"/>
        <v>2.2285499999999999E-5</v>
      </c>
    </row>
    <row r="23" spans="1:10">
      <c r="A23" t="s">
        <v>720</v>
      </c>
      <c r="B23">
        <f>'CFF Clean Data'!C11</f>
        <v>4.1200000000000004E-4</v>
      </c>
      <c r="C23">
        <f>'CFF Clean Data'!C26</f>
        <v>1.17E-4</v>
      </c>
      <c r="D23" s="153">
        <f>'CFF Clean Data'!D66</f>
        <v>2.253333333333333E-4</v>
      </c>
      <c r="E23" s="153">
        <f>'CFF Clean Data'!D81</f>
        <v>1.1066831904918326E-4</v>
      </c>
      <c r="F23" s="153">
        <f>'CFF Clean Data'!D96</f>
        <v>1.0342315292096219E-4</v>
      </c>
      <c r="G23" s="153">
        <f>'CFF Clean Data'!C147</f>
        <v>6.2300000000000003E-3</v>
      </c>
      <c r="H23" s="153">
        <f>'CFF Clean Data'!C174</f>
        <v>4.9399999999999999E-2</v>
      </c>
      <c r="I23" s="153">
        <f t="shared" si="2"/>
        <v>3.9725000000000003E-4</v>
      </c>
      <c r="J23" s="153">
        <f t="shared" si="1"/>
        <v>1.6958068281941254E-4</v>
      </c>
    </row>
    <row r="24" spans="1:10">
      <c r="A24" t="s">
        <v>721</v>
      </c>
      <c r="B24" s="153">
        <f>'CFF Clean Data'!D11</f>
        <v>3.4300000000000002E-6</v>
      </c>
      <c r="C24" s="153">
        <f>'CFF Clean Data'!D26</f>
        <v>1.6500000000000001E-7</v>
      </c>
      <c r="D24" s="153">
        <f>'CFF Clean Data'!E66</f>
        <v>1.8730162907268171E-6</v>
      </c>
      <c r="E24" s="153">
        <f>'CFF Clean Data'!E81</f>
        <v>1.5604426787741203E-7</v>
      </c>
      <c r="F24" s="153">
        <f>'CFF Clean Data'!E96</f>
        <v>2.1142255154639176E-5</v>
      </c>
      <c r="G24" s="153">
        <f>'CFF Clean Data'!D147</f>
        <v>6.8500000000000002E-3</v>
      </c>
      <c r="H24" s="153">
        <f>'CFF Clean Data'!F174</f>
        <v>5.4600000000000004E-4</v>
      </c>
      <c r="I24" s="153">
        <f t="shared" si="2"/>
        <v>3.2667500000000001E-6</v>
      </c>
      <c r="J24" s="153">
        <f t="shared" si="1"/>
        <v>9.7924866782222216E-6</v>
      </c>
    </row>
    <row r="25" spans="1:10">
      <c r="A25" t="s">
        <v>722</v>
      </c>
      <c r="B25" s="153">
        <f>'CFF Clean Data'!E11</f>
        <v>1.489E-2</v>
      </c>
      <c r="C25" s="153">
        <f>'CFF Clean Data'!E26</f>
        <v>1.73E-4</v>
      </c>
      <c r="D25" s="153">
        <f>'CFF Clean Data'!C66</f>
        <v>8.8100000000000001E-3</v>
      </c>
      <c r="E25" s="153">
        <f>'CFF Clean Data'!C81</f>
        <v>1.64E-4</v>
      </c>
      <c r="F25" s="153">
        <f>'CFF Clean Data'!C96</f>
        <v>1.0809999999999999E-3</v>
      </c>
      <c r="G25" s="153">
        <f>'CFF Clean Data'!E147</f>
        <v>1.8100000000000002E-2</v>
      </c>
      <c r="H25" s="153">
        <f>'CFF Clean Data'!E174</f>
        <v>8.6300000000000002E-2</v>
      </c>
      <c r="I25" s="153">
        <f t="shared" si="2"/>
        <v>1.4154150000000001E-2</v>
      </c>
      <c r="J25" s="153">
        <f t="shared" si="1"/>
        <v>5.2133950000000009E-3</v>
      </c>
    </row>
    <row r="26" spans="1:10">
      <c r="A26" t="s">
        <v>723</v>
      </c>
      <c r="B26" s="153">
        <f>'CFF Clean Data'!E11</f>
        <v>1.489E-2</v>
      </c>
      <c r="C26" s="153">
        <f>'CFF Clean Data'!E26</f>
        <v>1.73E-4</v>
      </c>
      <c r="D26" s="153">
        <f>'CFF Clean Data'!C66</f>
        <v>8.8100000000000001E-3</v>
      </c>
      <c r="E26" s="153">
        <f>'CFF Clean Data'!C81</f>
        <v>1.64E-4</v>
      </c>
      <c r="F26" s="153">
        <f>'CFF Clean Data'!C96</f>
        <v>1.0809999999999999E-3</v>
      </c>
      <c r="G26" s="153">
        <f>'CFF Clean Data'!E147</f>
        <v>1.8100000000000002E-2</v>
      </c>
      <c r="H26" s="153">
        <f>'CFF Clean Data'!E174</f>
        <v>8.6300000000000002E-2</v>
      </c>
      <c r="I26" s="153">
        <f t="shared" si="2"/>
        <v>1.4154150000000001E-2</v>
      </c>
      <c r="J26" s="153">
        <f t="shared" si="1"/>
        <v>5.2133950000000009E-3</v>
      </c>
    </row>
    <row r="27" spans="1:10">
      <c r="A27" t="s">
        <v>724</v>
      </c>
      <c r="B27">
        <v>0</v>
      </c>
      <c r="C27">
        <v>0</v>
      </c>
      <c r="D27">
        <v>0</v>
      </c>
      <c r="E27">
        <v>0</v>
      </c>
      <c r="F27" s="153">
        <f>'CFF Clean Data'!F100</f>
        <v>7.4400000000000004E-3</v>
      </c>
      <c r="G27">
        <v>0</v>
      </c>
      <c r="H27" s="153">
        <f>'CFF Clean Data'!D178</f>
        <v>7.7367600000000003</v>
      </c>
      <c r="I27" s="153">
        <f t="shared" si="2"/>
        <v>0</v>
      </c>
      <c r="J27" s="153">
        <f t="shared" si="1"/>
        <v>3.0876000000000002E-3</v>
      </c>
    </row>
    <row r="28" spans="1:10">
      <c r="A28" t="s">
        <v>725</v>
      </c>
      <c r="B28">
        <f>'CFF Clean Data'!C15</f>
        <v>5.3400000000000003E-2</v>
      </c>
      <c r="C28">
        <f>'CFF Clean Data'!C30</f>
        <v>1.67E-2</v>
      </c>
      <c r="D28" s="153">
        <f>'CFF Clean Data'!D70</f>
        <v>2.9199999999999997E-2</v>
      </c>
      <c r="E28" s="153">
        <f>'CFF Clean Data'!D85</f>
        <v>1.5800235912443634E-2</v>
      </c>
      <c r="F28" s="153">
        <f>'CFF Clean Data'!D100</f>
        <v>1.4827036082474225E-2</v>
      </c>
      <c r="G28" s="153">
        <f>'CFF Clean Data'!C151</f>
        <v>1.32</v>
      </c>
      <c r="H28">
        <f>'CFF Clean Data'!C178</f>
        <v>10.6</v>
      </c>
      <c r="I28" s="153">
        <f t="shared" si="2"/>
        <v>5.1565E-2</v>
      </c>
      <c r="J28" s="153">
        <f t="shared" si="1"/>
        <v>2.2632230590286767E-2</v>
      </c>
    </row>
    <row r="29" spans="1:10">
      <c r="A29" t="s">
        <v>726</v>
      </c>
      <c r="B29" s="153">
        <f>'CFF Clean Data'!D15</f>
        <v>3.4400000000000001E-4</v>
      </c>
      <c r="C29" s="153">
        <f>'CFF Clean Data'!D30</f>
        <v>1.66E-5</v>
      </c>
      <c r="D29" s="153">
        <f>'CFF Clean Data'!E70</f>
        <v>1.882967418546366E-4</v>
      </c>
      <c r="E29" s="153">
        <f>'CFF Clean Data'!E85</f>
        <v>1.56711123723042E-5</v>
      </c>
      <c r="F29" s="153">
        <f>'CFF Clean Data'!E100</f>
        <v>2.2057504295532645E-4</v>
      </c>
      <c r="G29" s="153">
        <f>'CFF Clean Data'!D151</f>
        <v>0.52600000000000002</v>
      </c>
      <c r="H29" s="153">
        <f>'CFF Clean Data'!F178</f>
        <v>4.19E-2</v>
      </c>
      <c r="I29" s="153">
        <f t="shared" si="2"/>
        <v>3.2762999999999998E-4</v>
      </c>
      <c r="J29" s="153">
        <f t="shared" si="1"/>
        <v>1.9392408348471794E-4</v>
      </c>
    </row>
    <row r="30" spans="1:10">
      <c r="A30" t="s">
        <v>727</v>
      </c>
      <c r="B30" s="153">
        <f>'CFF Clean Data'!E15</f>
        <v>84.3</v>
      </c>
      <c r="C30" s="153">
        <f>'CFF Clean Data'!E30</f>
        <v>7.5899999999999995E-2</v>
      </c>
      <c r="D30" s="153">
        <f>'CFF Clean Data'!C70</f>
        <v>50</v>
      </c>
      <c r="E30" s="153">
        <f>'CFF Clean Data'!C85</f>
        <v>7.1999999999999995E-2</v>
      </c>
      <c r="F30" s="153">
        <f>'CFF Clean Data'!C100</f>
        <v>0.13740000000000002</v>
      </c>
      <c r="G30" s="153">
        <f>'CFF Clean Data'!E151</f>
        <v>4.6100000000000003</v>
      </c>
      <c r="H30" s="153">
        <f>'CFF Clean Data'!E178</f>
        <v>12.4</v>
      </c>
      <c r="I30" s="153">
        <f t="shared" si="2"/>
        <v>80.08879499999999</v>
      </c>
      <c r="J30" s="153">
        <f t="shared" si="1"/>
        <v>27.060261000000001</v>
      </c>
    </row>
    <row r="31" spans="1:10">
      <c r="A31" t="s">
        <v>728</v>
      </c>
      <c r="B31" s="153">
        <f>'CFF Clean Data'!E15</f>
        <v>84.3</v>
      </c>
      <c r="C31" s="153">
        <f>'CFF Clean Data'!E30</f>
        <v>7.5899999999999995E-2</v>
      </c>
      <c r="D31" s="153">
        <f>'CFF Clean Data'!C70</f>
        <v>50</v>
      </c>
      <c r="E31" s="153">
        <f>'CFF Clean Data'!C85</f>
        <v>7.1999999999999995E-2</v>
      </c>
      <c r="F31" s="153">
        <f>'CFF Clean Data'!C100</f>
        <v>0.13740000000000002</v>
      </c>
      <c r="G31" s="153">
        <f>'CFF Clean Data'!E151</f>
        <v>4.6100000000000003</v>
      </c>
      <c r="H31" s="153">
        <f>'CFF Clean Data'!E178</f>
        <v>12.4</v>
      </c>
      <c r="I31" s="153">
        <f t="shared" si="2"/>
        <v>80.08879499999999</v>
      </c>
      <c r="J31" s="153">
        <f t="shared" si="1"/>
        <v>27.060261000000001</v>
      </c>
    </row>
    <row r="32" spans="1:10">
      <c r="A32" t="s">
        <v>729</v>
      </c>
      <c r="B32">
        <v>0</v>
      </c>
      <c r="C32">
        <v>0</v>
      </c>
      <c r="D32">
        <v>0</v>
      </c>
      <c r="E32">
        <v>0</v>
      </c>
      <c r="F32" s="153">
        <f>'CFF Clean Data'!F102</f>
        <v>7.4699999999999995E-12</v>
      </c>
      <c r="G32">
        <v>0</v>
      </c>
      <c r="H32" s="153">
        <f>'CFF Clean Data'!D180</f>
        <v>7.4988E-11</v>
      </c>
      <c r="I32" s="153">
        <f t="shared" si="2"/>
        <v>0</v>
      </c>
      <c r="J32" s="153">
        <f t="shared" si="1"/>
        <v>3.1000499999999995E-12</v>
      </c>
    </row>
    <row r="33" spans="1:10">
      <c r="A33" t="s">
        <v>730</v>
      </c>
      <c r="B33">
        <f>'CFF Clean Data'!C17</f>
        <v>5.1799999999999998E-11</v>
      </c>
      <c r="C33">
        <f>'CFF Clean Data'!C32</f>
        <v>1.6999999999999999E-11</v>
      </c>
      <c r="D33" s="153">
        <f>'CFF Clean Data'!D72</f>
        <v>2.8349999999999998E-11</v>
      </c>
      <c r="E33" s="153">
        <f>'CFF Clean Data'!D87</f>
        <v>1.6066906560754917E-11</v>
      </c>
      <c r="F33" s="153">
        <f>'CFF Clean Data'!D102</f>
        <v>1.5101610824742272E-11</v>
      </c>
      <c r="G33" s="153">
        <f>'CFF Clean Data'!C153</f>
        <v>6.2800000000000005E-11</v>
      </c>
      <c r="H33">
        <f>'CFF Clean Data'!C180</f>
        <v>2.8999999999999998E-10</v>
      </c>
      <c r="I33" s="153">
        <f t="shared" si="2"/>
        <v>5.006E-11</v>
      </c>
      <c r="J33" s="153">
        <f t="shared" si="1"/>
        <v>2.2299179287502016E-11</v>
      </c>
    </row>
    <row r="34" spans="1:10">
      <c r="A34" t="s">
        <v>731</v>
      </c>
      <c r="B34" s="153">
        <f>'CFF Clean Data'!D17</f>
        <v>1.923E-14</v>
      </c>
      <c r="C34" s="153">
        <f>'CFF Clean Data'!D32</f>
        <v>9.2700000000000007E-16</v>
      </c>
      <c r="D34" s="153">
        <f>'CFF Clean Data'!E72</f>
        <v>1.0530538847117795E-14</v>
      </c>
      <c r="E34" s="153">
        <f>'CFF Clean Data'!E87</f>
        <v>8.8024971623155496E-16</v>
      </c>
      <c r="F34" s="153">
        <f>'CFF Clean Data'!E102</f>
        <v>1.2447388316151203E-14</v>
      </c>
      <c r="G34" s="153">
        <f>'CFF Clean Data'!D153</f>
        <v>3.0099999999999998E-11</v>
      </c>
      <c r="H34" s="153">
        <f>'CFF Clean Data'!F180</f>
        <v>2.3900000000000001E-12</v>
      </c>
      <c r="I34" s="153">
        <f t="shared" si="2"/>
        <v>1.8314850000000001E-14</v>
      </c>
      <c r="J34" s="153">
        <f t="shared" si="1"/>
        <v>1.0891768365876779E-14</v>
      </c>
    </row>
    <row r="35" spans="1:10">
      <c r="A35" t="s">
        <v>732</v>
      </c>
      <c r="B35" s="153">
        <f>'CFF Clean Data'!E17</f>
        <v>1.018E-10</v>
      </c>
      <c r="C35" s="153">
        <f>'CFF Clean Data'!E32</f>
        <v>6.8300000000000002E-13</v>
      </c>
      <c r="D35" s="153">
        <f>'CFF Clean Data'!C72</f>
        <v>6.0300000000000001E-11</v>
      </c>
      <c r="E35" s="153">
        <f>'CFF Clean Data'!C87</f>
        <v>6.4699999999999997E-13</v>
      </c>
      <c r="F35" s="153">
        <f>'CFF Clean Data'!C102</f>
        <v>2.8209999999999999E-11</v>
      </c>
      <c r="G35" s="153">
        <f>'CFF Clean Data'!E153</f>
        <v>5.2700000000000004E-10</v>
      </c>
      <c r="H35" s="153">
        <f>'CFF Clean Data'!E180</f>
        <v>3.2599999999999999E-9</v>
      </c>
      <c r="I35" s="153">
        <f t="shared" si="2"/>
        <v>9.6744149999999998E-11</v>
      </c>
      <c r="J35" s="153">
        <f t="shared" si="1"/>
        <v>4.4298264999999998E-11</v>
      </c>
    </row>
    <row r="36" spans="1:10">
      <c r="A36" t="s">
        <v>733</v>
      </c>
      <c r="B36" s="153">
        <f>'CFF Clean Data'!E17</f>
        <v>1.018E-10</v>
      </c>
      <c r="C36" s="153">
        <f>'CFF Clean Data'!E32</f>
        <v>6.8300000000000002E-13</v>
      </c>
      <c r="D36" s="153">
        <f>'CFF Clean Data'!C72</f>
        <v>6.0300000000000001E-11</v>
      </c>
      <c r="E36" s="153">
        <f>'CFF Clean Data'!C87</f>
        <v>6.4699999999999997E-13</v>
      </c>
      <c r="F36" s="153">
        <f>'CFF Clean Data'!C102</f>
        <v>2.8209999999999999E-11</v>
      </c>
      <c r="G36" s="153">
        <f>'CFF Clean Data'!E153</f>
        <v>5.2700000000000004E-10</v>
      </c>
      <c r="H36" s="153">
        <f>'CFF Clean Data'!E180</f>
        <v>3.2599999999999999E-9</v>
      </c>
      <c r="I36" s="153">
        <f t="shared" si="2"/>
        <v>9.6744149999999998E-11</v>
      </c>
      <c r="J36" s="153">
        <f t="shared" si="1"/>
        <v>4.4298264999999998E-11</v>
      </c>
    </row>
    <row r="37" spans="1:10">
      <c r="A37" t="s">
        <v>734</v>
      </c>
      <c r="B37">
        <v>0</v>
      </c>
      <c r="C37">
        <v>0</v>
      </c>
      <c r="D37">
        <v>0</v>
      </c>
      <c r="E37">
        <v>0</v>
      </c>
      <c r="F37" s="153">
        <f>'CFF Clean Data'!F103</f>
        <v>1.8300000000000001E-5</v>
      </c>
      <c r="G37">
        <v>0</v>
      </c>
      <c r="H37" s="153">
        <f>'CFF Clean Data'!D181</f>
        <v>6.4800000000000003E-4</v>
      </c>
      <c r="I37" s="153">
        <f t="shared" si="2"/>
        <v>0</v>
      </c>
      <c r="J37" s="153">
        <f t="shared" si="1"/>
        <v>7.5944999999999999E-6</v>
      </c>
    </row>
    <row r="38" spans="1:10">
      <c r="A38" t="s">
        <v>735</v>
      </c>
      <c r="B38">
        <f>'CFF Clean Data'!C18</f>
        <v>1.3739999999999998E-4</v>
      </c>
      <c r="C38">
        <f>'CFF Clean Data'!C33</f>
        <v>4.0800000000000002E-5</v>
      </c>
      <c r="D38" s="153">
        <f>'CFF Clean Data'!D73</f>
        <v>7.5116666666666658E-5</v>
      </c>
      <c r="E38" s="153">
        <f>'CFF Clean Data'!D88</f>
        <v>3.86005763430585E-5</v>
      </c>
      <c r="F38" s="153">
        <f>'CFF Clean Data'!D103</f>
        <v>3.6060816151202756E-5</v>
      </c>
      <c r="G38" s="153">
        <f>'CFF Clean Data'!C154</f>
        <v>5.4900000000000001E-3</v>
      </c>
      <c r="H38">
        <f>'CFF Clean Data'!C181</f>
        <v>4.4400000000000002E-2</v>
      </c>
      <c r="I38" s="153">
        <f t="shared" si="2"/>
        <v>1.3256999999999999E-4</v>
      </c>
      <c r="J38" s="153">
        <f t="shared" si="1"/>
        <v>5.7265264638186773E-5</v>
      </c>
    </row>
    <row r="39" spans="1:10">
      <c r="A39" t="s">
        <v>736</v>
      </c>
      <c r="B39" s="153">
        <f>'CFF Clean Data'!D18</f>
        <v>2.9400000000000002E-6</v>
      </c>
      <c r="C39" s="153">
        <f>'CFF Clean Data'!D33</f>
        <v>1.42E-7</v>
      </c>
      <c r="D39" s="153">
        <f>'CFF Clean Data'!E73</f>
        <v>1.608404761904762E-6</v>
      </c>
      <c r="E39" s="153">
        <f>'CFF Clean Data'!E88</f>
        <v>1.3403802497162316E-7</v>
      </c>
      <c r="F39" s="153">
        <f>'CFF Clean Data'!E103</f>
        <v>1.7481258591065291E-6</v>
      </c>
      <c r="G39" s="153">
        <f>'CFF Clean Data'!D154</f>
        <v>4.7699999999999999E-3</v>
      </c>
      <c r="H39" s="153">
        <f>'CFF Clean Data'!F181</f>
        <v>3.8000000000000002E-4</v>
      </c>
      <c r="I39" s="153">
        <f t="shared" si="2"/>
        <v>2.8001000000000001E-6</v>
      </c>
      <c r="J39" s="153">
        <f t="shared" si="1"/>
        <v>1.6000425140815042E-6</v>
      </c>
    </row>
    <row r="40" spans="1:10">
      <c r="A40" t="s">
        <v>737</v>
      </c>
      <c r="B40" s="153">
        <f>'CFF Clean Data'!E18</f>
        <v>1.1679999999999999E-2</v>
      </c>
      <c r="C40" s="153">
        <f>'CFF Clean Data'!E33</f>
        <v>2.4399999999999999E-4</v>
      </c>
      <c r="D40" s="153">
        <f>'CFF Clean Data'!C73</f>
        <v>6.9100000000000003E-3</v>
      </c>
      <c r="E40" s="153">
        <f>'CFF Clean Data'!C88</f>
        <v>2.31E-4</v>
      </c>
      <c r="F40" s="153">
        <f>'CFF Clean Data'!C103</f>
        <v>1.1949999999999999E-3</v>
      </c>
      <c r="G40" s="153">
        <f>'CFF Clean Data'!E154</f>
        <v>9.3100000000000006E-3</v>
      </c>
      <c r="H40" s="153">
        <f>'CFF Clean Data'!E181</f>
        <v>4.2599999999999999E-2</v>
      </c>
      <c r="I40" s="153">
        <f t="shared" si="2"/>
        <v>1.1108199999999999E-2</v>
      </c>
      <c r="J40" s="153">
        <f t="shared" si="1"/>
        <v>4.2377200000000004E-3</v>
      </c>
    </row>
    <row r="41" spans="1:10">
      <c r="A41" t="s">
        <v>738</v>
      </c>
      <c r="B41" s="153">
        <f>'CFF Clean Data'!E18</f>
        <v>1.1679999999999999E-2</v>
      </c>
      <c r="C41" s="153">
        <f>'CFF Clean Data'!E33</f>
        <v>2.4399999999999999E-4</v>
      </c>
      <c r="D41" s="153">
        <f>'CFF Clean Data'!C73</f>
        <v>6.9100000000000003E-3</v>
      </c>
      <c r="E41" s="153">
        <f>'CFF Clean Data'!C88</f>
        <v>2.31E-4</v>
      </c>
      <c r="F41" s="153">
        <f>'CFF Clean Data'!C103</f>
        <v>1.1949999999999999E-3</v>
      </c>
      <c r="G41" s="153">
        <f>'CFF Clean Data'!E154</f>
        <v>9.3100000000000006E-3</v>
      </c>
      <c r="H41" s="153">
        <f>'CFF Clean Data'!E181</f>
        <v>4.2599999999999999E-2</v>
      </c>
      <c r="I41" s="153">
        <f t="shared" si="2"/>
        <v>1.1108199999999999E-2</v>
      </c>
      <c r="J41" s="153">
        <f t="shared" si="1"/>
        <v>4.2377200000000004E-3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BDAB-D449-4866-B4F7-C008E6F54453}">
  <dimension ref="A1:G43"/>
  <sheetViews>
    <sheetView tabSelected="1" topLeftCell="A19" workbookViewId="0">
      <selection activeCell="C38" sqref="C38"/>
    </sheetView>
  </sheetViews>
  <sheetFormatPr defaultColWidth="9.1796875" defaultRowHeight="14.5"/>
  <cols>
    <col min="1" max="1" width="40.26953125" customWidth="1"/>
    <col min="2" max="2" width="13" bestFit="1" customWidth="1"/>
    <col min="3" max="3" width="13" customWidth="1"/>
    <col min="4" max="4" width="13" bestFit="1" customWidth="1"/>
  </cols>
  <sheetData>
    <row r="1" spans="1:7">
      <c r="A1" t="s">
        <v>678</v>
      </c>
      <c r="B1" t="s">
        <v>677</v>
      </c>
      <c r="C1" t="s">
        <v>665</v>
      </c>
      <c r="D1" t="s">
        <v>661</v>
      </c>
      <c r="E1" t="s">
        <v>662</v>
      </c>
      <c r="F1" t="s">
        <v>663</v>
      </c>
      <c r="G1" t="s">
        <v>664</v>
      </c>
    </row>
    <row r="2" spans="1:7">
      <c r="A2" t="s">
        <v>672</v>
      </c>
      <c r="B2" t="s">
        <v>656</v>
      </c>
      <c r="C2" t="s">
        <v>669</v>
      </c>
      <c r="D2">
        <f>'CFF Clean Data'!C39</f>
        <v>0.2</v>
      </c>
    </row>
    <row r="3" spans="1:7">
      <c r="A3" t="s">
        <v>672</v>
      </c>
      <c r="B3" t="s">
        <v>657</v>
      </c>
      <c r="C3" t="s">
        <v>669</v>
      </c>
      <c r="D3">
        <f>'CFF Clean Data'!C40</f>
        <v>0</v>
      </c>
    </row>
    <row r="4" spans="1:7">
      <c r="A4" t="s">
        <v>672</v>
      </c>
      <c r="B4" t="s">
        <v>658</v>
      </c>
      <c r="C4" t="s">
        <v>668</v>
      </c>
      <c r="D4">
        <v>0.92</v>
      </c>
      <c r="E4">
        <v>0.03</v>
      </c>
      <c r="F4">
        <v>0.76</v>
      </c>
      <c r="G4">
        <v>0.98</v>
      </c>
    </row>
    <row r="5" spans="1:7">
      <c r="A5" t="s">
        <v>672</v>
      </c>
      <c r="B5" t="s">
        <v>666</v>
      </c>
      <c r="C5" t="s">
        <v>669</v>
      </c>
      <c r="D5">
        <v>1</v>
      </c>
    </row>
    <row r="6" spans="1:7">
      <c r="A6" s="154" t="s">
        <v>672</v>
      </c>
      <c r="B6" t="s">
        <v>659</v>
      </c>
      <c r="C6" t="s">
        <v>667</v>
      </c>
      <c r="D6">
        <v>0.8</v>
      </c>
      <c r="E6">
        <v>1</v>
      </c>
      <c r="F6">
        <v>1</v>
      </c>
    </row>
    <row r="7" spans="1:7">
      <c r="A7" s="154" t="s">
        <v>672</v>
      </c>
      <c r="B7" t="s">
        <v>660</v>
      </c>
      <c r="C7" t="s">
        <v>668</v>
      </c>
      <c r="D7">
        <v>0.78</v>
      </c>
      <c r="E7">
        <v>0.15</v>
      </c>
      <c r="F7">
        <v>0.42</v>
      </c>
      <c r="G7">
        <v>1</v>
      </c>
    </row>
    <row r="8" spans="1:7">
      <c r="A8" t="s">
        <v>673</v>
      </c>
      <c r="B8" t="s">
        <v>656</v>
      </c>
      <c r="C8" t="s">
        <v>669</v>
      </c>
      <c r="D8">
        <v>0.2</v>
      </c>
    </row>
    <row r="9" spans="1:7">
      <c r="A9" t="s">
        <v>673</v>
      </c>
      <c r="B9" t="s">
        <v>657</v>
      </c>
      <c r="C9" t="s">
        <v>669</v>
      </c>
      <c r="D9">
        <v>0</v>
      </c>
    </row>
    <row r="10" spans="1:7">
      <c r="A10" s="154" t="s">
        <v>673</v>
      </c>
      <c r="B10" t="s">
        <v>658</v>
      </c>
      <c r="C10" t="s">
        <v>668</v>
      </c>
      <c r="D10">
        <v>0.9</v>
      </c>
      <c r="E10">
        <v>7.0000000000000007E-2</v>
      </c>
      <c r="F10">
        <v>0.81</v>
      </c>
      <c r="G10">
        <v>0.98</v>
      </c>
    </row>
    <row r="11" spans="1:7">
      <c r="A11" t="s">
        <v>673</v>
      </c>
      <c r="B11" t="s">
        <v>666</v>
      </c>
      <c r="C11" t="s">
        <v>669</v>
      </c>
      <c r="D11">
        <v>1</v>
      </c>
    </row>
    <row r="12" spans="1:7">
      <c r="A12" s="154" t="s">
        <v>673</v>
      </c>
      <c r="B12" t="s">
        <v>659</v>
      </c>
      <c r="C12" t="s">
        <v>668</v>
      </c>
      <c r="D12">
        <v>0.8</v>
      </c>
      <c r="E12">
        <v>0.13</v>
      </c>
      <c r="F12">
        <v>0.5</v>
      </c>
      <c r="G12">
        <v>1</v>
      </c>
    </row>
    <row r="13" spans="1:7">
      <c r="A13" s="154" t="s">
        <v>673</v>
      </c>
      <c r="B13" t="s">
        <v>660</v>
      </c>
      <c r="C13" t="s">
        <v>668</v>
      </c>
      <c r="D13">
        <v>0.82</v>
      </c>
      <c r="E13">
        <v>0.12</v>
      </c>
      <c r="F13">
        <v>0.51</v>
      </c>
      <c r="G13">
        <v>1</v>
      </c>
    </row>
    <row r="14" spans="1:7">
      <c r="A14" t="s">
        <v>674</v>
      </c>
      <c r="B14" t="s">
        <v>656</v>
      </c>
      <c r="C14" t="s">
        <v>669</v>
      </c>
      <c r="D14">
        <v>0.2</v>
      </c>
    </row>
    <row r="15" spans="1:7">
      <c r="A15" t="s">
        <v>674</v>
      </c>
      <c r="B15" t="s">
        <v>657</v>
      </c>
      <c r="C15" t="s">
        <v>669</v>
      </c>
      <c r="D15">
        <v>0</v>
      </c>
    </row>
    <row r="16" spans="1:7">
      <c r="A16" t="s">
        <v>674</v>
      </c>
      <c r="B16" t="s">
        <v>658</v>
      </c>
      <c r="C16" t="s">
        <v>668</v>
      </c>
      <c r="D16">
        <v>0.92</v>
      </c>
      <c r="E16">
        <v>0.03</v>
      </c>
      <c r="F16">
        <v>0.76</v>
      </c>
      <c r="G16">
        <v>0.98</v>
      </c>
    </row>
    <row r="17" spans="1:7">
      <c r="A17" t="s">
        <v>674</v>
      </c>
      <c r="B17" t="s">
        <v>666</v>
      </c>
      <c r="C17" t="s">
        <v>669</v>
      </c>
      <c r="D17">
        <v>1</v>
      </c>
    </row>
    <row r="18" spans="1:7">
      <c r="A18" t="s">
        <v>674</v>
      </c>
      <c r="B18" t="s">
        <v>659</v>
      </c>
      <c r="C18" t="s">
        <v>667</v>
      </c>
      <c r="D18">
        <v>0.8</v>
      </c>
      <c r="E18">
        <v>1</v>
      </c>
      <c r="F18">
        <v>1</v>
      </c>
    </row>
    <row r="19" spans="1:7">
      <c r="A19" t="s">
        <v>674</v>
      </c>
      <c r="B19" t="s">
        <v>660</v>
      </c>
      <c r="C19" t="s">
        <v>668</v>
      </c>
      <c r="D19">
        <v>0.78</v>
      </c>
      <c r="E19">
        <v>0.15</v>
      </c>
      <c r="F19">
        <v>0.42</v>
      </c>
      <c r="G19">
        <v>1</v>
      </c>
    </row>
    <row r="20" spans="1:7">
      <c r="A20" t="s">
        <v>675</v>
      </c>
      <c r="B20" t="s">
        <v>656</v>
      </c>
      <c r="C20" t="s">
        <v>669</v>
      </c>
      <c r="D20">
        <v>0.2</v>
      </c>
    </row>
    <row r="21" spans="1:7">
      <c r="A21" t="s">
        <v>675</v>
      </c>
      <c r="B21" t="s">
        <v>657</v>
      </c>
      <c r="C21" t="s">
        <v>669</v>
      </c>
      <c r="D21">
        <v>0</v>
      </c>
    </row>
    <row r="22" spans="1:7">
      <c r="A22" t="s">
        <v>675</v>
      </c>
      <c r="B22" t="s">
        <v>658</v>
      </c>
      <c r="C22" t="s">
        <v>668</v>
      </c>
      <c r="D22">
        <v>0.9</v>
      </c>
      <c r="E22">
        <v>7.0000000000000007E-2</v>
      </c>
      <c r="F22">
        <v>0.81</v>
      </c>
      <c r="G22">
        <v>0.98</v>
      </c>
    </row>
    <row r="23" spans="1:7">
      <c r="A23" t="s">
        <v>675</v>
      </c>
      <c r="B23" t="s">
        <v>666</v>
      </c>
      <c r="C23" t="s">
        <v>669</v>
      </c>
      <c r="D23">
        <v>1</v>
      </c>
    </row>
    <row r="24" spans="1:7">
      <c r="A24" t="s">
        <v>675</v>
      </c>
      <c r="B24" t="s">
        <v>659</v>
      </c>
      <c r="C24" t="s">
        <v>668</v>
      </c>
      <c r="D24">
        <v>0.8</v>
      </c>
      <c r="E24">
        <v>0.13</v>
      </c>
      <c r="F24">
        <v>0.5</v>
      </c>
      <c r="G24">
        <v>1</v>
      </c>
    </row>
    <row r="25" spans="1:7">
      <c r="A25" t="s">
        <v>675</v>
      </c>
      <c r="B25" t="s">
        <v>660</v>
      </c>
      <c r="C25" t="s">
        <v>668</v>
      </c>
      <c r="D25">
        <v>0.82</v>
      </c>
      <c r="E25">
        <v>0.12</v>
      </c>
      <c r="F25">
        <v>0.51</v>
      </c>
      <c r="G25">
        <v>1</v>
      </c>
    </row>
    <row r="26" spans="1:7">
      <c r="A26" t="s">
        <v>676</v>
      </c>
      <c r="B26" t="s">
        <v>656</v>
      </c>
      <c r="C26" t="s">
        <v>820</v>
      </c>
      <c r="D26">
        <v>0.5</v>
      </c>
      <c r="E26">
        <v>0.8</v>
      </c>
    </row>
    <row r="27" spans="1:7">
      <c r="A27" t="s">
        <v>676</v>
      </c>
      <c r="B27" t="s">
        <v>657</v>
      </c>
      <c r="C27" t="s">
        <v>669</v>
      </c>
      <c r="D27">
        <v>0</v>
      </c>
    </row>
    <row r="28" spans="1:7">
      <c r="A28" t="s">
        <v>676</v>
      </c>
      <c r="B28" t="s">
        <v>658</v>
      </c>
      <c r="C28" t="s">
        <v>668</v>
      </c>
      <c r="D28">
        <v>0.4</v>
      </c>
      <c r="E28">
        <v>0.17599999999999999</v>
      </c>
      <c r="F28">
        <v>0</v>
      </c>
      <c r="G28">
        <v>0.8</v>
      </c>
    </row>
    <row r="29" spans="1:7">
      <c r="A29" t="s">
        <v>676</v>
      </c>
      <c r="B29" t="s">
        <v>666</v>
      </c>
      <c r="C29" t="s">
        <v>669</v>
      </c>
      <c r="D29">
        <v>1</v>
      </c>
    </row>
    <row r="30" spans="1:7">
      <c r="A30" s="154" t="s">
        <v>676</v>
      </c>
      <c r="B30" t="s">
        <v>659</v>
      </c>
      <c r="C30" t="s">
        <v>668</v>
      </c>
      <c r="D30">
        <v>0.57999999999999996</v>
      </c>
      <c r="E30">
        <v>0.12</v>
      </c>
      <c r="F30">
        <v>0.36</v>
      </c>
      <c r="G30">
        <v>0.86</v>
      </c>
    </row>
    <row r="31" spans="1:7">
      <c r="A31" t="s">
        <v>676</v>
      </c>
      <c r="B31" t="s">
        <v>660</v>
      </c>
      <c r="C31" t="s">
        <v>668</v>
      </c>
      <c r="D31">
        <v>0.45</v>
      </c>
      <c r="E31">
        <v>0.12</v>
      </c>
      <c r="F31">
        <v>0.28999999999999998</v>
      </c>
      <c r="G31">
        <v>0.69</v>
      </c>
    </row>
    <row r="32" spans="1:7">
      <c r="A32" t="s">
        <v>670</v>
      </c>
      <c r="B32" t="s">
        <v>656</v>
      </c>
      <c r="C32" t="s">
        <v>668</v>
      </c>
      <c r="D32">
        <v>0.5</v>
      </c>
      <c r="E32">
        <v>0.05</v>
      </c>
      <c r="F32">
        <v>0.45</v>
      </c>
      <c r="G32">
        <v>0.55000000000000004</v>
      </c>
    </row>
    <row r="33" spans="1:7">
      <c r="A33" t="s">
        <v>670</v>
      </c>
      <c r="B33" t="s">
        <v>657</v>
      </c>
      <c r="C33" t="s">
        <v>669</v>
      </c>
      <c r="D33">
        <v>0</v>
      </c>
    </row>
    <row r="34" spans="1:7">
      <c r="A34" s="154" t="s">
        <v>670</v>
      </c>
      <c r="B34" t="s">
        <v>658</v>
      </c>
      <c r="C34" t="s">
        <v>667</v>
      </c>
      <c r="D34">
        <v>0</v>
      </c>
      <c r="E34" s="106">
        <v>0.7</v>
      </c>
      <c r="F34" s="106">
        <v>0.7</v>
      </c>
    </row>
    <row r="35" spans="1:7">
      <c r="A35" t="s">
        <v>670</v>
      </c>
      <c r="B35" t="s">
        <v>666</v>
      </c>
      <c r="C35" t="s">
        <v>669</v>
      </c>
      <c r="D35">
        <v>1</v>
      </c>
    </row>
    <row r="36" spans="1:7">
      <c r="A36" s="154" t="s">
        <v>670</v>
      </c>
      <c r="B36" t="s">
        <v>659</v>
      </c>
      <c r="C36" t="s">
        <v>668</v>
      </c>
      <c r="D36" s="106">
        <v>0.85</v>
      </c>
      <c r="E36" s="106">
        <v>0.1</v>
      </c>
      <c r="F36" s="106">
        <v>0.73</v>
      </c>
      <c r="G36" s="106">
        <v>1</v>
      </c>
    </row>
    <row r="37" spans="1:7">
      <c r="A37" s="154" t="s">
        <v>670</v>
      </c>
      <c r="B37" t="s">
        <v>660</v>
      </c>
      <c r="C37" t="s">
        <v>668</v>
      </c>
      <c r="D37" s="106">
        <v>0.76</v>
      </c>
      <c r="E37" s="106">
        <v>0.1</v>
      </c>
      <c r="F37" s="106">
        <v>0.48</v>
      </c>
      <c r="G37" s="106">
        <v>1</v>
      </c>
    </row>
    <row r="38" spans="1:7">
      <c r="A38" t="s">
        <v>671</v>
      </c>
      <c r="B38" t="s">
        <v>656</v>
      </c>
      <c r="C38" t="s">
        <v>820</v>
      </c>
      <c r="D38">
        <v>0.5</v>
      </c>
      <c r="E38">
        <v>0.7</v>
      </c>
    </row>
    <row r="39" spans="1:7">
      <c r="A39" t="s">
        <v>671</v>
      </c>
      <c r="B39" t="s">
        <v>657</v>
      </c>
      <c r="C39" t="s">
        <v>669</v>
      </c>
      <c r="D39">
        <v>0.6</v>
      </c>
    </row>
    <row r="40" spans="1:7">
      <c r="A40" t="s">
        <v>671</v>
      </c>
      <c r="B40" t="s">
        <v>658</v>
      </c>
      <c r="C40" t="s">
        <v>667</v>
      </c>
      <c r="D40">
        <v>0</v>
      </c>
      <c r="E40" s="106">
        <v>0.97</v>
      </c>
      <c r="F40" s="106">
        <v>0.97</v>
      </c>
    </row>
    <row r="41" spans="1:7">
      <c r="A41" t="s">
        <v>671</v>
      </c>
      <c r="B41" t="s">
        <v>666</v>
      </c>
      <c r="C41" t="s">
        <v>669</v>
      </c>
      <c r="D41">
        <v>1</v>
      </c>
    </row>
    <row r="42" spans="1:7">
      <c r="A42" s="154" t="s">
        <v>671</v>
      </c>
      <c r="B42" t="s">
        <v>659</v>
      </c>
      <c r="C42" t="s">
        <v>668</v>
      </c>
      <c r="D42">
        <v>0.85</v>
      </c>
      <c r="E42">
        <v>0.05</v>
      </c>
      <c r="F42">
        <v>0.73</v>
      </c>
      <c r="G42">
        <v>0.9</v>
      </c>
    </row>
    <row r="43" spans="1:7">
      <c r="A43" s="154" t="s">
        <v>671</v>
      </c>
      <c r="B43" t="s">
        <v>660</v>
      </c>
      <c r="C43" t="s">
        <v>668</v>
      </c>
      <c r="D43">
        <v>0.67</v>
      </c>
      <c r="E43">
        <v>0.1</v>
      </c>
      <c r="F43">
        <v>0.23</v>
      </c>
      <c r="G43">
        <v>0.81</v>
      </c>
    </row>
  </sheetData>
  <autoFilter ref="A1:G43" xr:uid="{2958BDAB-D449-4866-B4F7-C008E6F544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106F-D974-4357-A130-9C7CA4052FF0}">
  <dimension ref="B2:M66"/>
  <sheetViews>
    <sheetView zoomScale="112" workbookViewId="0">
      <selection activeCell="I41" sqref="I41"/>
    </sheetView>
  </sheetViews>
  <sheetFormatPr defaultColWidth="10.81640625" defaultRowHeight="14.5"/>
  <cols>
    <col min="2" max="2" width="15.81640625" customWidth="1"/>
    <col min="3" max="3" width="26" customWidth="1"/>
    <col min="5" max="5" width="34.26953125" customWidth="1"/>
    <col min="7" max="7" width="28.453125" customWidth="1"/>
    <col min="9" max="9" width="22" customWidth="1"/>
    <col min="11" max="11" width="13.81640625" customWidth="1"/>
  </cols>
  <sheetData>
    <row r="2" spans="2:7" ht="21">
      <c r="B2" s="11" t="s">
        <v>24</v>
      </c>
    </row>
    <row r="3" spans="2:7" ht="15" thickBot="1"/>
    <row r="4" spans="2:7" ht="33" customHeight="1" thickBot="1">
      <c r="B4" s="15" t="s">
        <v>40</v>
      </c>
      <c r="C4" s="206" t="s">
        <v>41</v>
      </c>
      <c r="D4" s="207"/>
      <c r="E4" s="207"/>
      <c r="F4" s="207"/>
      <c r="G4" s="208"/>
    </row>
    <row r="5" spans="2:7" ht="15" thickBot="1"/>
    <row r="6" spans="2:7">
      <c r="B6" s="239" t="s">
        <v>25</v>
      </c>
      <c r="C6" s="240"/>
      <c r="D6" s="240"/>
      <c r="E6" s="240"/>
      <c r="F6" s="240"/>
      <c r="G6" s="241"/>
    </row>
    <row r="7" spans="2:7">
      <c r="B7" s="199" t="s">
        <v>42</v>
      </c>
      <c r="C7" s="242"/>
      <c r="D7" s="242"/>
      <c r="E7" s="242"/>
      <c r="F7" s="242"/>
      <c r="G7" s="196"/>
    </row>
    <row r="8" spans="2:7" ht="30.75" customHeight="1">
      <c r="B8" s="12" t="s">
        <v>26</v>
      </c>
      <c r="C8" s="234" t="s">
        <v>27</v>
      </c>
      <c r="D8" s="234"/>
      <c r="E8" s="234"/>
      <c r="F8" s="234"/>
      <c r="G8" s="235"/>
    </row>
    <row r="9" spans="2:7" ht="36" customHeight="1">
      <c r="B9" s="12" t="s">
        <v>28</v>
      </c>
      <c r="C9" s="234" t="s">
        <v>29</v>
      </c>
      <c r="D9" s="234"/>
      <c r="E9" s="234"/>
      <c r="F9" s="234"/>
      <c r="G9" s="235"/>
    </row>
    <row r="10" spans="2:7" ht="34.5" customHeight="1">
      <c r="B10" s="12" t="s">
        <v>30</v>
      </c>
      <c r="C10" s="234" t="s">
        <v>31</v>
      </c>
      <c r="D10" s="234"/>
      <c r="E10" s="234"/>
      <c r="F10" s="234"/>
      <c r="G10" s="235"/>
    </row>
    <row r="11" spans="2:7">
      <c r="B11" s="236" t="s">
        <v>32</v>
      </c>
      <c r="C11" s="237"/>
      <c r="D11" s="237"/>
      <c r="E11" s="237"/>
      <c r="F11" s="237"/>
      <c r="G11" s="238"/>
    </row>
    <row r="12" spans="2:7">
      <c r="B12" s="212" t="s">
        <v>33</v>
      </c>
      <c r="C12" s="213"/>
      <c r="D12" s="213" t="s">
        <v>34</v>
      </c>
      <c r="E12" s="213"/>
      <c r="F12" s="213" t="s">
        <v>35</v>
      </c>
      <c r="G12" s="228"/>
    </row>
    <row r="13" spans="2:7">
      <c r="B13" s="13" t="s">
        <v>36</v>
      </c>
      <c r="C13" s="16" t="s">
        <v>37</v>
      </c>
      <c r="D13" s="191"/>
      <c r="E13" s="192"/>
      <c r="F13" s="191"/>
      <c r="G13" s="195"/>
    </row>
    <row r="14" spans="2:7">
      <c r="B14" s="199"/>
      <c r="C14" s="194"/>
      <c r="D14" s="14" t="s">
        <v>36</v>
      </c>
      <c r="E14" s="17" t="s">
        <v>38</v>
      </c>
      <c r="F14" s="193"/>
      <c r="G14" s="196"/>
    </row>
    <row r="15" spans="2:7" ht="27.75" customHeight="1" thickBot="1">
      <c r="B15" s="200"/>
      <c r="C15" s="201"/>
      <c r="D15" s="202"/>
      <c r="E15" s="201"/>
      <c r="F15" s="204" t="s">
        <v>39</v>
      </c>
      <c r="G15" s="205"/>
    </row>
    <row r="19" spans="2:7" ht="15" thickBot="1"/>
    <row r="20" spans="2:7" ht="37.5" customHeight="1" thickBot="1">
      <c r="B20" s="15" t="s">
        <v>43</v>
      </c>
      <c r="C20" s="206" t="s">
        <v>44</v>
      </c>
      <c r="D20" s="207"/>
      <c r="E20" s="207"/>
      <c r="F20" s="207"/>
      <c r="G20" s="208"/>
    </row>
    <row r="21" spans="2:7" ht="15" thickBot="1"/>
    <row r="22" spans="2:7">
      <c r="B22" s="225" t="s">
        <v>32</v>
      </c>
      <c r="C22" s="226"/>
      <c r="D22" s="226"/>
      <c r="E22" s="226"/>
      <c r="F22" s="226"/>
      <c r="G22" s="227"/>
    </row>
    <row r="23" spans="2:7">
      <c r="B23" s="212" t="s">
        <v>33</v>
      </c>
      <c r="C23" s="213"/>
      <c r="D23" s="213" t="s">
        <v>34</v>
      </c>
      <c r="E23" s="213"/>
      <c r="F23" s="213" t="s">
        <v>35</v>
      </c>
      <c r="G23" s="228"/>
    </row>
    <row r="24" spans="2:7" ht="39" customHeight="1">
      <c r="B24" s="197" t="s">
        <v>46</v>
      </c>
      <c r="C24" s="198"/>
      <c r="D24" s="191"/>
      <c r="E24" s="192"/>
      <c r="F24" s="191"/>
      <c r="G24" s="195"/>
    </row>
    <row r="25" spans="2:7">
      <c r="B25" s="199"/>
      <c r="C25" s="194"/>
      <c r="D25" s="14" t="s">
        <v>36</v>
      </c>
      <c r="E25" s="22" t="s">
        <v>186</v>
      </c>
      <c r="F25" s="193"/>
      <c r="G25" s="196"/>
    </row>
    <row r="26" spans="2:7">
      <c r="B26" s="229"/>
      <c r="C26" s="230"/>
      <c r="D26" s="231"/>
      <c r="E26" s="230"/>
      <c r="F26" s="232" t="s">
        <v>47</v>
      </c>
      <c r="G26" s="233"/>
    </row>
    <row r="27" spans="2:7">
      <c r="B27" s="219" t="s">
        <v>45</v>
      </c>
      <c r="C27" s="220"/>
      <c r="D27" s="220"/>
      <c r="E27" s="220"/>
      <c r="F27" s="220"/>
      <c r="G27" s="221"/>
    </row>
    <row r="28" spans="2:7" ht="15" thickBot="1">
      <c r="B28" s="222"/>
      <c r="C28" s="223"/>
      <c r="D28" s="223"/>
      <c r="E28" s="223"/>
      <c r="F28" s="223"/>
      <c r="G28" s="224"/>
    </row>
    <row r="33" spans="2:11" ht="15" thickBot="1"/>
    <row r="34" spans="2:11" ht="58.5" customHeight="1" thickBot="1">
      <c r="B34" s="15" t="s">
        <v>48</v>
      </c>
      <c r="C34" s="206" t="s">
        <v>49</v>
      </c>
      <c r="D34" s="207"/>
      <c r="E34" s="207"/>
      <c r="F34" s="207"/>
      <c r="G34" s="208"/>
    </row>
    <row r="35" spans="2:11" ht="15" thickBot="1"/>
    <row r="36" spans="2:11">
      <c r="B36" s="225" t="s">
        <v>32</v>
      </c>
      <c r="C36" s="226"/>
      <c r="D36" s="226"/>
      <c r="E36" s="226"/>
      <c r="F36" s="226"/>
      <c r="G36" s="226"/>
      <c r="H36" s="226"/>
      <c r="I36" s="226"/>
      <c r="J36" s="226"/>
      <c r="K36" s="227"/>
    </row>
    <row r="37" spans="2:11">
      <c r="B37" s="212" t="s">
        <v>33</v>
      </c>
      <c r="C37" s="213"/>
      <c r="D37" s="213" t="s">
        <v>34</v>
      </c>
      <c r="E37" s="213"/>
      <c r="F37" s="213" t="s">
        <v>35</v>
      </c>
      <c r="G37" s="213"/>
      <c r="H37" s="213" t="s">
        <v>50</v>
      </c>
      <c r="I37" s="213"/>
      <c r="J37" s="213" t="s">
        <v>51</v>
      </c>
      <c r="K37" s="228"/>
    </row>
    <row r="38" spans="2:11" ht="15" customHeight="1">
      <c r="B38" s="216" t="s">
        <v>52</v>
      </c>
      <c r="C38" s="217"/>
      <c r="D38" s="191"/>
      <c r="E38" s="192"/>
      <c r="F38" s="191"/>
      <c r="G38" s="192"/>
      <c r="H38" s="191"/>
      <c r="I38" s="192"/>
      <c r="J38" s="191"/>
      <c r="K38" s="195"/>
    </row>
    <row r="39" spans="2:11" ht="29">
      <c r="B39" s="199"/>
      <c r="C39" s="194"/>
      <c r="D39" s="14" t="s">
        <v>36</v>
      </c>
      <c r="E39" s="17" t="s">
        <v>53</v>
      </c>
      <c r="F39" s="193"/>
      <c r="G39" s="194"/>
      <c r="H39" s="193"/>
      <c r="I39" s="194"/>
      <c r="J39" s="193"/>
      <c r="K39" s="196"/>
    </row>
    <row r="40" spans="2:11" ht="29">
      <c r="B40" s="199"/>
      <c r="C40" s="194"/>
      <c r="D40" s="193"/>
      <c r="E40" s="194"/>
      <c r="F40" s="14" t="s">
        <v>36</v>
      </c>
      <c r="G40" s="17" t="s">
        <v>54</v>
      </c>
      <c r="H40" s="193"/>
      <c r="I40" s="194"/>
      <c r="J40" s="193"/>
      <c r="K40" s="196"/>
    </row>
    <row r="41" spans="2:11" ht="29">
      <c r="B41" s="199"/>
      <c r="C41" s="194"/>
      <c r="D41" s="193"/>
      <c r="E41" s="194"/>
      <c r="F41" s="193"/>
      <c r="G41" s="194"/>
      <c r="H41" s="14" t="s">
        <v>36</v>
      </c>
      <c r="I41" s="17" t="s">
        <v>55</v>
      </c>
      <c r="J41" s="193"/>
      <c r="K41" s="196"/>
    </row>
    <row r="42" spans="2:11">
      <c r="B42" s="199"/>
      <c r="C42" s="194"/>
      <c r="D42" s="193"/>
      <c r="E42" s="194"/>
      <c r="F42" s="193"/>
      <c r="G42" s="194"/>
      <c r="H42" s="193"/>
      <c r="I42" s="194"/>
      <c r="J42" s="187" t="s">
        <v>56</v>
      </c>
      <c r="K42" s="203"/>
    </row>
    <row r="43" spans="2:11">
      <c r="B43" s="199"/>
      <c r="C43" s="194"/>
      <c r="D43" s="193"/>
      <c r="E43" s="194"/>
      <c r="F43" s="193"/>
      <c r="G43" s="194"/>
      <c r="H43" s="193"/>
      <c r="I43" s="194"/>
      <c r="J43" s="187"/>
      <c r="K43" s="203"/>
    </row>
    <row r="44" spans="2:11">
      <c r="B44" s="199"/>
      <c r="C44" s="194"/>
      <c r="D44" s="193"/>
      <c r="E44" s="194"/>
      <c r="F44" s="193"/>
      <c r="G44" s="194"/>
      <c r="H44" s="193"/>
      <c r="I44" s="194"/>
      <c r="J44" s="187"/>
      <c r="K44" s="203"/>
    </row>
    <row r="45" spans="2:11">
      <c r="B45" s="199"/>
      <c r="C45" s="194"/>
      <c r="D45" s="193"/>
      <c r="E45" s="194"/>
      <c r="F45" s="193"/>
      <c r="G45" s="194"/>
      <c r="H45" s="193"/>
      <c r="I45" s="194"/>
      <c r="J45" s="187"/>
      <c r="K45" s="203"/>
    </row>
    <row r="46" spans="2:11" ht="15" thickBot="1">
      <c r="B46" s="200"/>
      <c r="C46" s="201"/>
      <c r="D46" s="202"/>
      <c r="E46" s="201"/>
      <c r="F46" s="202"/>
      <c r="G46" s="201"/>
      <c r="H46" s="202"/>
      <c r="I46" s="201"/>
      <c r="J46" s="218"/>
      <c r="K46" s="205"/>
    </row>
    <row r="51" spans="2:13" ht="15" thickBot="1"/>
    <row r="52" spans="2:13" ht="96.75" customHeight="1" thickBot="1">
      <c r="B52" s="15" t="s">
        <v>57</v>
      </c>
      <c r="C52" s="206" t="s">
        <v>58</v>
      </c>
      <c r="D52" s="207"/>
      <c r="E52" s="207"/>
      <c r="F52" s="207"/>
      <c r="G52" s="207"/>
      <c r="H52" s="207"/>
      <c r="I52" s="207"/>
      <c r="J52" s="207"/>
      <c r="K52" s="208"/>
    </row>
    <row r="53" spans="2:13" ht="15" thickBot="1"/>
    <row r="54" spans="2:13">
      <c r="B54" s="209" t="s">
        <v>32</v>
      </c>
      <c r="C54" s="210"/>
      <c r="D54" s="210"/>
      <c r="E54" s="210"/>
      <c r="F54" s="210"/>
      <c r="G54" s="210"/>
      <c r="H54" s="210"/>
      <c r="I54" s="211"/>
    </row>
    <row r="55" spans="2:13">
      <c r="B55" s="212" t="s">
        <v>33</v>
      </c>
      <c r="C55" s="213"/>
      <c r="D55" s="213" t="s">
        <v>34</v>
      </c>
      <c r="E55" s="214"/>
      <c r="F55" s="213" t="s">
        <v>35</v>
      </c>
      <c r="G55" s="213"/>
      <c r="H55" s="214" t="s">
        <v>50</v>
      </c>
      <c r="I55" s="215"/>
    </row>
    <row r="56" spans="2:13" ht="55.5" customHeight="1">
      <c r="B56" s="189" t="s">
        <v>59</v>
      </c>
      <c r="C56" s="190"/>
      <c r="D56" s="191"/>
      <c r="E56" s="192"/>
      <c r="F56" s="191"/>
      <c r="G56" s="192"/>
      <c r="H56" s="191"/>
      <c r="I56" s="195"/>
    </row>
    <row r="57" spans="2:13" ht="38.25" customHeight="1">
      <c r="B57" s="197" t="s">
        <v>60</v>
      </c>
      <c r="C57" s="198"/>
      <c r="D57" s="193"/>
      <c r="E57" s="194"/>
      <c r="F57" s="193"/>
      <c r="G57" s="194"/>
      <c r="H57" s="193"/>
      <c r="I57" s="196"/>
    </row>
    <row r="58" spans="2:13" ht="22.5" customHeight="1">
      <c r="B58" s="199"/>
      <c r="C58" s="194"/>
      <c r="D58" s="187" t="s">
        <v>63</v>
      </c>
      <c r="E58" s="188"/>
      <c r="F58" s="193"/>
      <c r="G58" s="194"/>
      <c r="H58" s="193"/>
      <c r="I58" s="196"/>
    </row>
    <row r="59" spans="2:13" ht="99.75" customHeight="1">
      <c r="B59" s="199"/>
      <c r="C59" s="194"/>
      <c r="D59" s="193"/>
      <c r="E59" s="194"/>
      <c r="F59" s="187" t="s">
        <v>61</v>
      </c>
      <c r="G59" s="188"/>
      <c r="H59" s="193"/>
      <c r="I59" s="196"/>
      <c r="M59" s="23"/>
    </row>
    <row r="60" spans="2:13">
      <c r="B60" s="199"/>
      <c r="C60" s="194"/>
      <c r="D60" s="193"/>
      <c r="E60" s="194"/>
      <c r="F60" s="193"/>
      <c r="G60" s="194"/>
      <c r="H60" s="198" t="s">
        <v>62</v>
      </c>
      <c r="I60" s="203"/>
    </row>
    <row r="61" spans="2:13">
      <c r="B61" s="199"/>
      <c r="C61" s="194"/>
      <c r="D61" s="193"/>
      <c r="E61" s="194"/>
      <c r="F61" s="193"/>
      <c r="G61" s="194"/>
      <c r="H61" s="198"/>
      <c r="I61" s="203"/>
    </row>
    <row r="62" spans="2:13">
      <c r="B62" s="199"/>
      <c r="C62" s="194"/>
      <c r="D62" s="193"/>
      <c r="E62" s="194"/>
      <c r="F62" s="193"/>
      <c r="G62" s="194"/>
      <c r="H62" s="198"/>
      <c r="I62" s="203"/>
    </row>
    <row r="63" spans="2:13" ht="15" thickBot="1">
      <c r="B63" s="200"/>
      <c r="C63" s="201"/>
      <c r="D63" s="202"/>
      <c r="E63" s="201"/>
      <c r="F63" s="202"/>
      <c r="G63" s="201"/>
      <c r="H63" s="204"/>
      <c r="I63" s="205"/>
    </row>
    <row r="66" spans="2:3">
      <c r="B66" t="s">
        <v>22</v>
      </c>
      <c r="C66" s="9" t="s">
        <v>23</v>
      </c>
    </row>
  </sheetData>
  <mergeCells count="61">
    <mergeCell ref="C8:G8"/>
    <mergeCell ref="C9:G9"/>
    <mergeCell ref="C10:G10"/>
    <mergeCell ref="B11:G11"/>
    <mergeCell ref="C4:G4"/>
    <mergeCell ref="B6:G6"/>
    <mergeCell ref="B7:G7"/>
    <mergeCell ref="C20:G20"/>
    <mergeCell ref="B22:G22"/>
    <mergeCell ref="B23:C23"/>
    <mergeCell ref="D23:E23"/>
    <mergeCell ref="F23:G23"/>
    <mergeCell ref="B12:C12"/>
    <mergeCell ref="D12:E12"/>
    <mergeCell ref="F12:G12"/>
    <mergeCell ref="D13:E13"/>
    <mergeCell ref="F13:G14"/>
    <mergeCell ref="B14:C15"/>
    <mergeCell ref="D15:E15"/>
    <mergeCell ref="F15:G15"/>
    <mergeCell ref="B24:C24"/>
    <mergeCell ref="D24:E24"/>
    <mergeCell ref="F24:G25"/>
    <mergeCell ref="B25:C26"/>
    <mergeCell ref="D26:E26"/>
    <mergeCell ref="F26:G26"/>
    <mergeCell ref="B27:G28"/>
    <mergeCell ref="C34:G34"/>
    <mergeCell ref="B37:C37"/>
    <mergeCell ref="D37:E37"/>
    <mergeCell ref="F37:G37"/>
    <mergeCell ref="B36:K36"/>
    <mergeCell ref="H37:I37"/>
    <mergeCell ref="J37:K37"/>
    <mergeCell ref="H38:I40"/>
    <mergeCell ref="J38:K41"/>
    <mergeCell ref="B39:C46"/>
    <mergeCell ref="D40:E46"/>
    <mergeCell ref="F41:G46"/>
    <mergeCell ref="H42:I46"/>
    <mergeCell ref="B38:C38"/>
    <mergeCell ref="D38:E38"/>
    <mergeCell ref="F38:G39"/>
    <mergeCell ref="J42:K46"/>
    <mergeCell ref="C52:K52"/>
    <mergeCell ref="B54:I54"/>
    <mergeCell ref="B55:C55"/>
    <mergeCell ref="D55:E55"/>
    <mergeCell ref="F55:G55"/>
    <mergeCell ref="H55:I55"/>
    <mergeCell ref="D58:E58"/>
    <mergeCell ref="B56:C56"/>
    <mergeCell ref="D56:E57"/>
    <mergeCell ref="F56:G58"/>
    <mergeCell ref="H56:I59"/>
    <mergeCell ref="B57:C57"/>
    <mergeCell ref="B58:C63"/>
    <mergeCell ref="D59:E63"/>
    <mergeCell ref="F59:G59"/>
    <mergeCell ref="F60:G63"/>
    <mergeCell ref="H60:I63"/>
  </mergeCells>
  <hyperlinks>
    <hyperlink ref="C66" r:id="rId1" xr:uid="{EA97AE77-DCF0-491D-81AF-63BECD5EB231}"/>
  </hyperlinks>
  <pageMargins left="0.7" right="0.7" top="0.78740157499999996" bottom="0.78740157499999996"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B1F2-A65A-4BFB-B63A-780942F289F5}">
  <dimension ref="B2:N446"/>
  <sheetViews>
    <sheetView topLeftCell="E434" zoomScale="69" zoomScaleNormal="60" workbookViewId="0">
      <selection activeCell="I444" sqref="I444"/>
    </sheetView>
  </sheetViews>
  <sheetFormatPr defaultColWidth="10.81640625" defaultRowHeight="14.5"/>
  <cols>
    <col min="2" max="2" width="96.453125" customWidth="1"/>
    <col min="3" max="3" width="50.7265625" customWidth="1"/>
    <col min="4" max="4" width="68" customWidth="1"/>
    <col min="5" max="5" width="52" customWidth="1"/>
    <col min="6" max="6" width="61.1796875" customWidth="1"/>
    <col min="7" max="7" width="111.1796875" customWidth="1"/>
    <col min="8" max="8" width="47.453125" customWidth="1"/>
    <col min="9" max="9" width="22.1796875" customWidth="1"/>
    <col min="10" max="10" width="45.26953125" customWidth="1"/>
  </cols>
  <sheetData>
    <row r="2" spans="2:2" ht="21">
      <c r="B2" s="11" t="s">
        <v>64</v>
      </c>
    </row>
    <row r="22" spans="2:5" ht="15" thickBot="1"/>
    <row r="23" spans="2:5" ht="30" customHeight="1" thickBot="1">
      <c r="B23" s="262" t="s">
        <v>555</v>
      </c>
      <c r="C23" s="263"/>
      <c r="D23" s="264" t="s">
        <v>65</v>
      </c>
      <c r="E23" s="265"/>
    </row>
    <row r="24" spans="2:5" ht="15.5" thickTop="1" thickBot="1">
      <c r="B24" s="26" t="s">
        <v>66</v>
      </c>
      <c r="C24" s="27" t="s">
        <v>244</v>
      </c>
      <c r="D24" s="28" t="s">
        <v>66</v>
      </c>
      <c r="E24" s="28" t="s">
        <v>244</v>
      </c>
    </row>
    <row r="25" spans="2:5" ht="15" thickBot="1">
      <c r="B25" s="29" t="s">
        <v>68</v>
      </c>
      <c r="C25" s="30">
        <v>3.3780000000000001</v>
      </c>
      <c r="D25" s="31" t="s">
        <v>68</v>
      </c>
      <c r="E25" s="31">
        <v>0.83299999999999996</v>
      </c>
    </row>
    <row r="26" spans="2:5" ht="15" thickBot="1">
      <c r="B26" s="26" t="s">
        <v>70</v>
      </c>
      <c r="C26" s="27">
        <v>1.772</v>
      </c>
      <c r="D26" s="28" t="s">
        <v>70</v>
      </c>
      <c r="E26" s="28">
        <v>1.982</v>
      </c>
    </row>
    <row r="27" spans="2:5" ht="15" thickBot="1">
      <c r="B27" s="266" t="s">
        <v>72</v>
      </c>
      <c r="C27" s="269">
        <v>0.248</v>
      </c>
      <c r="D27" s="31" t="s">
        <v>72</v>
      </c>
      <c r="E27" s="31">
        <v>0.23499999999999999</v>
      </c>
    </row>
    <row r="28" spans="2:5" ht="15" thickBot="1">
      <c r="B28" s="267"/>
      <c r="C28" s="270"/>
      <c r="D28" s="28" t="s">
        <v>74</v>
      </c>
      <c r="E28" s="28">
        <v>0.22900000000000001</v>
      </c>
    </row>
    <row r="29" spans="2:5" ht="15" thickBot="1">
      <c r="B29" s="267"/>
      <c r="C29" s="270"/>
      <c r="D29" s="31" t="s">
        <v>75</v>
      </c>
      <c r="E29" s="31">
        <v>0.98099999999999998</v>
      </c>
    </row>
    <row r="30" spans="2:5" ht="15" thickBot="1">
      <c r="B30" s="268"/>
      <c r="C30" s="271"/>
      <c r="D30" s="28" t="s">
        <v>76</v>
      </c>
      <c r="E30" s="28">
        <v>0.95099999999999996</v>
      </c>
    </row>
    <row r="31" spans="2:5">
      <c r="C31" s="48">
        <f>C25+C26+C27</f>
        <v>5.3980000000000006</v>
      </c>
      <c r="E31">
        <f>E25+E26+E27+E28+E29+E30</f>
        <v>5.2109999999999994</v>
      </c>
    </row>
    <row r="32" spans="2:5">
      <c r="C32">
        <f>C27/C31</f>
        <v>4.5942941830307518E-2</v>
      </c>
      <c r="E32">
        <f>(E25+E26)/E31</f>
        <v>0.54020341585108433</v>
      </c>
    </row>
    <row r="33" spans="2:13">
      <c r="C33">
        <f>(C25+C26)/C31</f>
        <v>0.95405705816969244</v>
      </c>
      <c r="E33">
        <f>E27/E31</f>
        <v>4.5096910381884479E-2</v>
      </c>
    </row>
    <row r="34" spans="2:13" ht="15" thickBot="1">
      <c r="E34">
        <f>(E28+E29+E30)/E31</f>
        <v>0.41469967376703132</v>
      </c>
    </row>
    <row r="35" spans="2:13">
      <c r="B35" s="272" t="s">
        <v>185</v>
      </c>
      <c r="C35" s="273"/>
      <c r="D35" s="273"/>
      <c r="E35" s="273"/>
      <c r="F35" s="273"/>
      <c r="G35" s="273"/>
      <c r="H35" s="273"/>
      <c r="I35" s="273"/>
      <c r="J35" s="273"/>
      <c r="K35" s="273"/>
      <c r="L35" s="273"/>
      <c r="M35" s="274"/>
    </row>
    <row r="36" spans="2:13">
      <c r="B36" t="s">
        <v>526</v>
      </c>
    </row>
    <row r="37" spans="2:13" ht="15" thickBot="1"/>
    <row r="38" spans="2:13" ht="17" thickBot="1">
      <c r="B38" s="33" t="s">
        <v>77</v>
      </c>
      <c r="C38" s="32" t="s">
        <v>78</v>
      </c>
    </row>
    <row r="40" spans="2:13">
      <c r="B40" s="38" t="s">
        <v>79</v>
      </c>
      <c r="C40" s="275" t="s">
        <v>80</v>
      </c>
      <c r="D40" s="275"/>
      <c r="E40" s="275"/>
      <c r="F40" s="275"/>
      <c r="G40" s="275"/>
      <c r="H40" s="275"/>
      <c r="I40" s="275"/>
      <c r="J40" s="275"/>
      <c r="K40" s="275"/>
      <c r="L40" s="275"/>
      <c r="M40" s="275"/>
    </row>
    <row r="41" spans="2:13" ht="16.5">
      <c r="B41" s="34" t="s">
        <v>82</v>
      </c>
      <c r="C41" s="261" t="str">
        <f xml:space="preserve"> 'Case Study 2'!B170</f>
        <v>LCI:  Erec = 0 (as only primary materialsl and no secondary material is used for the conventional concrete product)</v>
      </c>
      <c r="D41" s="261"/>
      <c r="E41" s="261"/>
      <c r="F41" s="261"/>
      <c r="G41" s="261"/>
      <c r="H41" s="261"/>
      <c r="I41" s="261"/>
      <c r="J41" s="261"/>
      <c r="K41" s="261"/>
      <c r="L41" s="261"/>
      <c r="M41" s="261"/>
    </row>
    <row r="42" spans="2:13" ht="264" customHeight="1">
      <c r="B42" s="35" t="s">
        <v>83</v>
      </c>
      <c r="C42" s="254" t="s">
        <v>84</v>
      </c>
      <c r="D42" s="254"/>
      <c r="E42" s="254"/>
      <c r="F42" s="254"/>
      <c r="G42" s="254"/>
      <c r="H42" s="254"/>
      <c r="I42" s="254"/>
      <c r="J42" s="254"/>
      <c r="K42" s="254"/>
      <c r="L42" s="254"/>
      <c r="M42" s="254"/>
    </row>
    <row r="43" spans="2:13" ht="83.25" customHeight="1">
      <c r="B43" s="37" t="s">
        <v>85</v>
      </c>
      <c r="C43" s="254" t="s">
        <v>86</v>
      </c>
      <c r="D43" s="276"/>
      <c r="E43" s="276"/>
      <c r="F43" s="276"/>
      <c r="G43" s="276"/>
      <c r="H43" s="276"/>
      <c r="I43" s="276"/>
      <c r="J43" s="276"/>
      <c r="K43" s="276"/>
      <c r="L43" s="276"/>
      <c r="M43" s="276"/>
    </row>
    <row r="45" spans="2:13">
      <c r="B45" s="38" t="s">
        <v>91</v>
      </c>
    </row>
    <row r="47" spans="2:13">
      <c r="B47" s="255" t="s">
        <v>96</v>
      </c>
      <c r="C47" s="256"/>
      <c r="D47" s="41" t="s">
        <v>97</v>
      </c>
      <c r="E47" s="257" t="s">
        <v>87</v>
      </c>
      <c r="F47" s="257"/>
      <c r="G47" s="49"/>
      <c r="H47" s="49"/>
    </row>
    <row r="48" spans="2:13" ht="53.25" customHeight="1">
      <c r="B48" s="214"/>
      <c r="C48" s="243"/>
      <c r="D48" s="34">
        <v>0.10125000000000001</v>
      </c>
      <c r="E48" s="254" t="s">
        <v>88</v>
      </c>
      <c r="F48" s="254"/>
      <c r="G48" s="24"/>
      <c r="H48" s="24"/>
    </row>
    <row r="49" spans="2:8" ht="54" customHeight="1">
      <c r="B49" s="214"/>
      <c r="C49" s="243"/>
      <c r="D49" s="34">
        <v>0.15079000000000001</v>
      </c>
      <c r="E49" s="254" t="s">
        <v>89</v>
      </c>
      <c r="F49" s="261"/>
      <c r="G49" s="48"/>
      <c r="H49" s="48"/>
    </row>
    <row r="50" spans="2:8">
      <c r="B50" s="244" t="s">
        <v>90</v>
      </c>
      <c r="C50" s="245"/>
      <c r="D50" s="39">
        <v>0.126</v>
      </c>
      <c r="E50" s="213"/>
      <c r="F50" s="213"/>
      <c r="G50" s="25"/>
      <c r="H50" s="25"/>
    </row>
    <row r="52" spans="2:8">
      <c r="B52" s="255" t="s">
        <v>92</v>
      </c>
      <c r="C52" s="256"/>
      <c r="D52" s="40" t="s">
        <v>93</v>
      </c>
      <c r="E52" s="257" t="s">
        <v>87</v>
      </c>
      <c r="F52" s="257"/>
      <c r="G52" s="49"/>
      <c r="H52" s="49"/>
    </row>
    <row r="53" spans="2:8" ht="54.75" customHeight="1">
      <c r="B53" s="214"/>
      <c r="C53" s="243"/>
      <c r="D53" s="34">
        <v>1.44</v>
      </c>
      <c r="E53" s="254" t="s">
        <v>94</v>
      </c>
      <c r="F53" s="254"/>
      <c r="G53" s="24"/>
      <c r="H53" s="24"/>
    </row>
    <row r="54" spans="2:8" ht="49.5" customHeight="1">
      <c r="B54" s="214"/>
      <c r="C54" s="243"/>
      <c r="D54" s="34">
        <v>2.88</v>
      </c>
      <c r="E54" s="254" t="s">
        <v>95</v>
      </c>
      <c r="F54" s="261"/>
      <c r="G54" s="48"/>
      <c r="H54" s="48"/>
    </row>
    <row r="55" spans="2:8">
      <c r="B55" s="244" t="s">
        <v>90</v>
      </c>
      <c r="C55" s="245"/>
      <c r="D55" s="39">
        <v>2.16</v>
      </c>
      <c r="E55" s="213"/>
      <c r="F55" s="213"/>
      <c r="G55" s="25"/>
      <c r="H55" s="25"/>
    </row>
    <row r="57" spans="2:8">
      <c r="B57" s="255" t="s">
        <v>98</v>
      </c>
      <c r="C57" s="256"/>
      <c r="D57" s="40" t="s">
        <v>99</v>
      </c>
      <c r="E57" s="257" t="s">
        <v>87</v>
      </c>
      <c r="F57" s="257"/>
      <c r="G57" s="49"/>
      <c r="H57" s="49"/>
    </row>
    <row r="58" spans="2:8" ht="50.25" customHeight="1">
      <c r="B58" s="214"/>
      <c r="C58" s="243"/>
      <c r="D58" s="34">
        <v>11.7</v>
      </c>
      <c r="E58" s="254" t="s">
        <v>100</v>
      </c>
      <c r="F58" s="254"/>
      <c r="G58" s="24"/>
      <c r="H58" s="24"/>
    </row>
    <row r="59" spans="2:8" ht="50.25" customHeight="1">
      <c r="B59" s="214"/>
      <c r="C59" s="243"/>
      <c r="D59" s="34">
        <v>19.7</v>
      </c>
      <c r="E59" s="254" t="s">
        <v>100</v>
      </c>
      <c r="F59" s="261"/>
      <c r="G59" s="48"/>
      <c r="H59" s="48"/>
    </row>
    <row r="60" spans="2:8">
      <c r="B60" s="244" t="s">
        <v>90</v>
      </c>
      <c r="C60" s="245"/>
      <c r="D60" s="39">
        <v>15.7</v>
      </c>
      <c r="E60" s="213"/>
      <c r="F60" s="213"/>
      <c r="G60" s="25"/>
      <c r="H60" s="25"/>
    </row>
    <row r="63" spans="2:8">
      <c r="B63" s="252" t="s">
        <v>101</v>
      </c>
      <c r="C63" s="252"/>
      <c r="D63" s="252"/>
      <c r="E63" s="252"/>
    </row>
    <row r="64" spans="2:8">
      <c r="B64" s="42" t="s">
        <v>66</v>
      </c>
      <c r="C64" s="42" t="s">
        <v>67</v>
      </c>
      <c r="D64" s="42" t="s">
        <v>87</v>
      </c>
      <c r="E64" s="42" t="s">
        <v>102</v>
      </c>
    </row>
    <row r="65" spans="2:5" ht="29">
      <c r="B65" s="59" t="s">
        <v>103</v>
      </c>
      <c r="C65" s="55" t="s">
        <v>217</v>
      </c>
      <c r="D65" s="59" t="s">
        <v>107</v>
      </c>
      <c r="E65" s="55" t="s">
        <v>104</v>
      </c>
    </row>
    <row r="66" spans="2:5" ht="29">
      <c r="B66" s="59" t="s">
        <v>105</v>
      </c>
      <c r="C66" s="55" t="s">
        <v>218</v>
      </c>
      <c r="D66" s="59" t="s">
        <v>108</v>
      </c>
      <c r="E66" s="59" t="s">
        <v>106</v>
      </c>
    </row>
    <row r="67" spans="2:5">
      <c r="B67" s="59" t="s">
        <v>112</v>
      </c>
      <c r="C67" s="55" t="s">
        <v>219</v>
      </c>
      <c r="D67" s="59" t="s">
        <v>109</v>
      </c>
      <c r="E67" s="55" t="s">
        <v>110</v>
      </c>
    </row>
    <row r="68" spans="2:5" ht="48.75" customHeight="1">
      <c r="B68" s="60" t="s">
        <v>111</v>
      </c>
      <c r="C68" s="60" t="s">
        <v>220</v>
      </c>
      <c r="D68" s="59" t="s">
        <v>122</v>
      </c>
      <c r="E68" s="59" t="s">
        <v>113</v>
      </c>
    </row>
    <row r="69" spans="2:5">
      <c r="B69" s="55" t="s">
        <v>114</v>
      </c>
      <c r="C69" s="55" t="s">
        <v>221</v>
      </c>
      <c r="D69" s="55" t="s">
        <v>115</v>
      </c>
      <c r="E69" s="55" t="s">
        <v>116</v>
      </c>
    </row>
    <row r="70" spans="2:5" ht="29">
      <c r="B70" s="59" t="s">
        <v>117</v>
      </c>
      <c r="C70" s="55" t="s">
        <v>222</v>
      </c>
      <c r="D70" s="59" t="s">
        <v>118</v>
      </c>
      <c r="E70" s="59" t="s">
        <v>104</v>
      </c>
    </row>
    <row r="71" spans="2:5" ht="29">
      <c r="B71" s="59" t="s">
        <v>119</v>
      </c>
      <c r="C71" s="55" t="s">
        <v>223</v>
      </c>
      <c r="D71" s="59" t="s">
        <v>120</v>
      </c>
      <c r="E71" s="59" t="s">
        <v>106</v>
      </c>
    </row>
    <row r="72" spans="2:5">
      <c r="B72" s="59" t="s">
        <v>121</v>
      </c>
      <c r="C72" s="55" t="s">
        <v>224</v>
      </c>
      <c r="D72" s="59" t="s">
        <v>214</v>
      </c>
      <c r="E72" s="55" t="s">
        <v>110</v>
      </c>
    </row>
    <row r="73" spans="2:5" ht="43.5">
      <c r="B73" s="55" t="s">
        <v>111</v>
      </c>
      <c r="C73" s="55" t="s">
        <v>225</v>
      </c>
      <c r="D73" s="59" t="s">
        <v>122</v>
      </c>
      <c r="E73" s="59" t="s">
        <v>113</v>
      </c>
    </row>
    <row r="74" spans="2:5">
      <c r="B74" s="58" t="s">
        <v>114</v>
      </c>
      <c r="C74" s="58" t="s">
        <v>226</v>
      </c>
      <c r="D74" s="58" t="s">
        <v>115</v>
      </c>
      <c r="E74" s="55" t="s">
        <v>116</v>
      </c>
    </row>
    <row r="75" spans="2:5">
      <c r="B75" s="258" t="s">
        <v>123</v>
      </c>
      <c r="C75" s="258"/>
      <c r="D75" s="258"/>
      <c r="E75" s="258"/>
    </row>
    <row r="76" spans="2:5">
      <c r="B76" s="58" t="s">
        <v>124</v>
      </c>
      <c r="C76" s="55" t="s">
        <v>217</v>
      </c>
      <c r="D76" s="58" t="s">
        <v>125</v>
      </c>
      <c r="E76" s="58"/>
    </row>
    <row r="77" spans="2:5">
      <c r="B77" s="58" t="s">
        <v>126</v>
      </c>
      <c r="C77" s="55" t="s">
        <v>218</v>
      </c>
      <c r="D77" s="58" t="s">
        <v>125</v>
      </c>
      <c r="E77" s="58"/>
    </row>
    <row r="78" spans="2:5">
      <c r="B78" s="58" t="s">
        <v>127</v>
      </c>
      <c r="C78" s="55" t="s">
        <v>222</v>
      </c>
      <c r="D78" s="58" t="s">
        <v>125</v>
      </c>
      <c r="E78" s="58"/>
    </row>
    <row r="79" spans="2:5">
      <c r="B79" s="58" t="s">
        <v>128</v>
      </c>
      <c r="C79" s="55" t="s">
        <v>227</v>
      </c>
      <c r="D79" s="58" t="s">
        <v>125</v>
      </c>
      <c r="E79" s="58"/>
    </row>
    <row r="81" spans="2:5">
      <c r="B81" s="252" t="s">
        <v>101</v>
      </c>
      <c r="C81" s="252"/>
      <c r="D81" s="252"/>
      <c r="E81" s="252"/>
    </row>
    <row r="82" spans="2:5">
      <c r="B82" s="42" t="s">
        <v>66</v>
      </c>
      <c r="C82" s="42" t="s">
        <v>67</v>
      </c>
      <c r="D82" s="42" t="s">
        <v>87</v>
      </c>
      <c r="E82" s="42" t="s">
        <v>102</v>
      </c>
    </row>
    <row r="83" spans="2:5" ht="29">
      <c r="B83" s="59" t="s">
        <v>129</v>
      </c>
      <c r="C83" s="55" t="s">
        <v>228</v>
      </c>
      <c r="D83" s="59" t="s">
        <v>133</v>
      </c>
      <c r="E83" s="59" t="s">
        <v>104</v>
      </c>
    </row>
    <row r="84" spans="2:5" ht="29">
      <c r="B84" s="59" t="s">
        <v>130</v>
      </c>
      <c r="C84" s="55" t="s">
        <v>229</v>
      </c>
      <c r="D84" s="59" t="s">
        <v>132</v>
      </c>
      <c r="E84" s="59" t="s">
        <v>106</v>
      </c>
    </row>
    <row r="85" spans="2:5">
      <c r="B85" s="59" t="s">
        <v>131</v>
      </c>
      <c r="C85" s="55" t="s">
        <v>230</v>
      </c>
      <c r="D85" s="59" t="s">
        <v>236</v>
      </c>
      <c r="E85" s="55" t="s">
        <v>110</v>
      </c>
    </row>
    <row r="86" spans="2:5" ht="72.5">
      <c r="B86" s="55" t="s">
        <v>134</v>
      </c>
      <c r="C86" s="55" t="s">
        <v>231</v>
      </c>
      <c r="D86" s="59" t="s">
        <v>135</v>
      </c>
      <c r="E86" s="59" t="s">
        <v>136</v>
      </c>
    </row>
    <row r="87" spans="2:5" ht="72.5">
      <c r="B87" s="55" t="s">
        <v>140</v>
      </c>
      <c r="C87" s="55" t="s">
        <v>232</v>
      </c>
      <c r="D87" s="59" t="s">
        <v>141</v>
      </c>
      <c r="E87" s="59" t="s">
        <v>142</v>
      </c>
    </row>
    <row r="88" spans="2:5" ht="72.5">
      <c r="B88" s="55" t="s">
        <v>143</v>
      </c>
      <c r="C88" s="55" t="s">
        <v>233</v>
      </c>
      <c r="D88" s="59" t="s">
        <v>144</v>
      </c>
      <c r="E88" s="59" t="s">
        <v>145</v>
      </c>
    </row>
    <row r="89" spans="2:5" ht="58">
      <c r="B89" s="55" t="s">
        <v>114</v>
      </c>
      <c r="C89" s="55" t="s">
        <v>234</v>
      </c>
      <c r="D89" s="59" t="s">
        <v>146</v>
      </c>
      <c r="E89" s="59" t="s">
        <v>116</v>
      </c>
    </row>
    <row r="90" spans="2:5">
      <c r="B90" s="58" t="s">
        <v>137</v>
      </c>
      <c r="C90" s="58" t="s">
        <v>235</v>
      </c>
      <c r="D90" s="58" t="s">
        <v>138</v>
      </c>
      <c r="E90" s="55" t="s">
        <v>139</v>
      </c>
    </row>
    <row r="91" spans="2:5">
      <c r="B91" s="258" t="s">
        <v>123</v>
      </c>
      <c r="C91" s="258"/>
      <c r="D91" s="258"/>
      <c r="E91" s="258"/>
    </row>
    <row r="92" spans="2:5">
      <c r="B92" s="58" t="s">
        <v>147</v>
      </c>
      <c r="C92" s="55" t="s">
        <v>228</v>
      </c>
      <c r="D92" s="58" t="s">
        <v>125</v>
      </c>
      <c r="E92" s="58"/>
    </row>
    <row r="93" spans="2:5">
      <c r="B93" s="58" t="s">
        <v>148</v>
      </c>
      <c r="C93" s="55" t="s">
        <v>229</v>
      </c>
      <c r="D93" s="58" t="s">
        <v>125</v>
      </c>
      <c r="E93" s="58"/>
    </row>
    <row r="96" spans="2:5">
      <c r="B96" s="38" t="s">
        <v>161</v>
      </c>
    </row>
    <row r="98" spans="2:5">
      <c r="B98" s="252" t="s">
        <v>101</v>
      </c>
      <c r="C98" s="252"/>
      <c r="D98" s="252"/>
      <c r="E98" s="252"/>
    </row>
    <row r="99" spans="2:5">
      <c r="B99" s="42" t="s">
        <v>66</v>
      </c>
      <c r="C99" s="42" t="s">
        <v>67</v>
      </c>
      <c r="D99" s="42" t="s">
        <v>87</v>
      </c>
      <c r="E99" s="42" t="s">
        <v>102</v>
      </c>
    </row>
    <row r="100" spans="2:5">
      <c r="B100" s="36" t="s">
        <v>152</v>
      </c>
      <c r="C100" s="34" t="s">
        <v>149</v>
      </c>
      <c r="D100" s="36" t="s">
        <v>154</v>
      </c>
      <c r="E100" s="36" t="s">
        <v>150</v>
      </c>
    </row>
    <row r="101" spans="2:5">
      <c r="B101" s="36" t="s">
        <v>153</v>
      </c>
      <c r="C101" s="34" t="s">
        <v>151</v>
      </c>
      <c r="D101" s="36" t="s">
        <v>154</v>
      </c>
      <c r="E101" s="34" t="s">
        <v>150</v>
      </c>
    </row>
    <row r="102" spans="2:5">
      <c r="B102" s="253" t="s">
        <v>123</v>
      </c>
      <c r="C102" s="253"/>
      <c r="D102" s="253"/>
      <c r="E102" s="253"/>
    </row>
    <row r="103" spans="2:5">
      <c r="B103" s="1" t="s">
        <v>156</v>
      </c>
      <c r="C103" s="43" t="s">
        <v>69</v>
      </c>
      <c r="D103" s="1"/>
      <c r="E103" s="1"/>
    </row>
    <row r="104" spans="2:5">
      <c r="B104" s="1" t="s">
        <v>155</v>
      </c>
      <c r="C104" s="43" t="s">
        <v>71</v>
      </c>
      <c r="D104" s="1"/>
      <c r="E104" s="1"/>
    </row>
    <row r="106" spans="2:5">
      <c r="B106" s="252" t="s">
        <v>101</v>
      </c>
      <c r="C106" s="252"/>
      <c r="D106" s="252"/>
      <c r="E106" s="252"/>
    </row>
    <row r="107" spans="2:5">
      <c r="B107" s="42" t="s">
        <v>66</v>
      </c>
      <c r="C107" s="42" t="s">
        <v>67</v>
      </c>
      <c r="D107" s="42" t="s">
        <v>87</v>
      </c>
      <c r="E107" s="42" t="s">
        <v>102</v>
      </c>
    </row>
    <row r="108" spans="2:5">
      <c r="B108" s="36" t="s">
        <v>157</v>
      </c>
      <c r="C108" s="34" t="s">
        <v>160</v>
      </c>
      <c r="D108" s="36" t="s">
        <v>154</v>
      </c>
      <c r="E108" s="34" t="s">
        <v>159</v>
      </c>
    </row>
    <row r="109" spans="2:5">
      <c r="B109" s="253" t="s">
        <v>123</v>
      </c>
      <c r="C109" s="253"/>
      <c r="D109" s="253"/>
      <c r="E109" s="253"/>
    </row>
    <row r="110" spans="2:5">
      <c r="B110" s="1" t="s">
        <v>158</v>
      </c>
      <c r="C110" s="43" t="s">
        <v>73</v>
      </c>
      <c r="D110" s="1"/>
      <c r="E110" s="1"/>
    </row>
    <row r="113" spans="2:5">
      <c r="B113" s="38" t="s">
        <v>176</v>
      </c>
    </row>
    <row r="115" spans="2:5">
      <c r="B115" s="277" t="s">
        <v>216</v>
      </c>
      <c r="C115" s="252"/>
      <c r="D115" s="252"/>
      <c r="E115" s="252"/>
    </row>
    <row r="116" spans="2:5">
      <c r="B116" s="1" t="s">
        <v>162</v>
      </c>
      <c r="C116" s="58" t="s">
        <v>81</v>
      </c>
      <c r="D116" s="58" t="s">
        <v>175</v>
      </c>
      <c r="E116" s="1" t="s">
        <v>177</v>
      </c>
    </row>
    <row r="117" spans="2:5">
      <c r="B117" s="1" t="s">
        <v>163</v>
      </c>
      <c r="C117" s="56">
        <v>4.6599999999999994E-6</v>
      </c>
      <c r="D117" s="57">
        <v>2.2580000000000003E-9</v>
      </c>
      <c r="E117" s="44">
        <v>1.7729999999999998E-5</v>
      </c>
    </row>
    <row r="118" spans="2:5">
      <c r="B118" s="1" t="s">
        <v>164</v>
      </c>
      <c r="C118" s="56">
        <v>13.58</v>
      </c>
      <c r="D118" s="57">
        <v>0.1709</v>
      </c>
      <c r="E118" s="44">
        <v>684</v>
      </c>
    </row>
    <row r="119" spans="2:5">
      <c r="B119" s="1" t="s">
        <v>165</v>
      </c>
      <c r="C119" s="56">
        <v>2.0109999999999998E-3</v>
      </c>
      <c r="D119" s="57">
        <v>3.1900000000000003E-5</v>
      </c>
      <c r="E119" s="44">
        <v>0.1956</v>
      </c>
    </row>
    <row r="120" spans="2:5">
      <c r="B120" s="1" t="s">
        <v>166</v>
      </c>
      <c r="C120" s="56">
        <v>4.1200000000000004E-4</v>
      </c>
      <c r="D120" s="57">
        <v>3.4300000000000002E-6</v>
      </c>
      <c r="E120" s="44">
        <v>1.489E-2</v>
      </c>
    </row>
    <row r="121" spans="2:5">
      <c r="B121" s="1" t="s">
        <v>167</v>
      </c>
      <c r="C121" s="56">
        <v>3.0600000000000002E-3</v>
      </c>
      <c r="D121" s="57">
        <v>2.8380000000000003E-5</v>
      </c>
      <c r="E121" s="44">
        <v>0.313</v>
      </c>
    </row>
    <row r="122" spans="2:5">
      <c r="B122" s="1" t="s">
        <v>168</v>
      </c>
      <c r="C122" s="56">
        <v>1.331</v>
      </c>
      <c r="D122" s="57">
        <v>1.1810000000000001E-2</v>
      </c>
      <c r="E122" s="44">
        <v>62.7</v>
      </c>
    </row>
    <row r="123" spans="2:5">
      <c r="B123" s="1" t="s">
        <v>169</v>
      </c>
      <c r="C123" s="56">
        <v>1.329</v>
      </c>
      <c r="D123" s="57">
        <v>1.197E-2</v>
      </c>
      <c r="E123" s="44">
        <v>62.8</v>
      </c>
    </row>
    <row r="124" spans="2:5">
      <c r="B124" s="1" t="s">
        <v>170</v>
      </c>
      <c r="C124" s="56">
        <v>5.3400000000000003E-2</v>
      </c>
      <c r="D124" s="57">
        <v>3.4400000000000001E-4</v>
      </c>
      <c r="E124" s="44">
        <v>84.3</v>
      </c>
    </row>
    <row r="125" spans="2:5">
      <c r="B125" s="1" t="s">
        <v>171</v>
      </c>
      <c r="C125" s="56">
        <v>157.19999999999999</v>
      </c>
      <c r="D125" s="57">
        <v>1.0899999999999999</v>
      </c>
      <c r="E125" s="44">
        <v>105900</v>
      </c>
    </row>
    <row r="126" spans="2:5">
      <c r="B126" s="1" t="s">
        <v>172</v>
      </c>
      <c r="C126" s="56">
        <v>5.1799999999999998E-11</v>
      </c>
      <c r="D126" s="57">
        <v>1.923E-14</v>
      </c>
      <c r="E126" s="44">
        <v>1.018E-10</v>
      </c>
    </row>
    <row r="127" spans="2:5">
      <c r="B127" s="1" t="s">
        <v>173</v>
      </c>
      <c r="C127" s="56">
        <v>1.3739999999999998E-4</v>
      </c>
      <c r="D127" s="57">
        <v>2.9400000000000002E-6</v>
      </c>
      <c r="E127" s="44">
        <v>1.1679999999999999E-2</v>
      </c>
    </row>
    <row r="128" spans="2:5">
      <c r="B128" s="1" t="s">
        <v>174</v>
      </c>
      <c r="C128" s="56">
        <v>2.2539999999999999E-3</v>
      </c>
      <c r="D128" s="57">
        <v>1.314E-4</v>
      </c>
      <c r="E128" s="44">
        <v>0.1172</v>
      </c>
    </row>
    <row r="130" spans="2:5">
      <c r="B130" s="277" t="s">
        <v>215</v>
      </c>
      <c r="C130" s="252"/>
      <c r="D130" s="252"/>
      <c r="E130" s="252"/>
    </row>
    <row r="131" spans="2:5">
      <c r="B131" s="1" t="s">
        <v>162</v>
      </c>
      <c r="C131" s="58" t="s">
        <v>81</v>
      </c>
      <c r="D131" s="58" t="s">
        <v>175</v>
      </c>
      <c r="E131" s="1" t="s">
        <v>177</v>
      </c>
    </row>
    <row r="132" spans="2:5">
      <c r="B132" s="1" t="s">
        <v>163</v>
      </c>
      <c r="C132" s="56">
        <v>3.2300000000000002E-7</v>
      </c>
      <c r="D132" s="57">
        <v>1.09E-10</v>
      </c>
      <c r="E132" s="44">
        <v>1.1700000000000001E-8</v>
      </c>
    </row>
    <row r="133" spans="2:5">
      <c r="B133" s="1" t="s">
        <v>164</v>
      </c>
      <c r="C133" s="56">
        <v>4.24</v>
      </c>
      <c r="D133" s="57">
        <v>8.2400000000000008E-3</v>
      </c>
      <c r="E133" s="44">
        <v>7.3</v>
      </c>
    </row>
    <row r="134" spans="2:5">
      <c r="B134" s="1" t="s">
        <v>165</v>
      </c>
      <c r="C134" s="56">
        <v>6.11E-4</v>
      </c>
      <c r="D134" s="57">
        <v>1.5400000000000001E-6</v>
      </c>
      <c r="E134" s="44">
        <v>1.74E-3</v>
      </c>
    </row>
    <row r="135" spans="2:5">
      <c r="B135" s="1" t="s">
        <v>166</v>
      </c>
      <c r="C135" s="56">
        <v>1.17E-4</v>
      </c>
      <c r="D135" s="57">
        <v>1.6500000000000001E-7</v>
      </c>
      <c r="E135" s="44">
        <v>1.73E-4</v>
      </c>
    </row>
    <row r="136" spans="2:5">
      <c r="B136" s="1" t="s">
        <v>167</v>
      </c>
      <c r="C136" s="56">
        <v>8.1400000000000005E-4</v>
      </c>
      <c r="D136" s="57">
        <v>1.37E-6</v>
      </c>
      <c r="E136" s="44">
        <v>1.0300000000000001E-3</v>
      </c>
    </row>
    <row r="137" spans="2:5">
      <c r="B137" s="1" t="s">
        <v>168</v>
      </c>
      <c r="C137" s="56">
        <v>0.42699999999999999</v>
      </c>
      <c r="D137" s="57">
        <v>5.6899999999999995E-4</v>
      </c>
      <c r="E137" s="44">
        <v>0.81599999999999995</v>
      </c>
    </row>
    <row r="138" spans="2:5">
      <c r="B138" s="1" t="s">
        <v>169</v>
      </c>
      <c r="C138" s="56">
        <v>0.42699999999999999</v>
      </c>
      <c r="D138" s="57">
        <v>5.7600000000000001E-4</v>
      </c>
      <c r="E138" s="44">
        <v>0.81599999999999995</v>
      </c>
    </row>
    <row r="139" spans="2:5">
      <c r="B139" s="1" t="s">
        <v>170</v>
      </c>
      <c r="C139" s="56">
        <v>1.67E-2</v>
      </c>
      <c r="D139" s="57">
        <v>1.66E-5</v>
      </c>
      <c r="E139" s="44">
        <v>7.5899999999999995E-2</v>
      </c>
    </row>
    <row r="140" spans="2:5">
      <c r="B140" s="1" t="s">
        <v>171</v>
      </c>
      <c r="C140" s="56">
        <v>50.2</v>
      </c>
      <c r="D140" s="57">
        <v>5.2499999999999998E-2</v>
      </c>
      <c r="E140" s="44">
        <v>42.6</v>
      </c>
    </row>
    <row r="141" spans="2:5">
      <c r="B141" s="1" t="s">
        <v>172</v>
      </c>
      <c r="C141" s="56">
        <v>1.6999999999999999E-11</v>
      </c>
      <c r="D141" s="57">
        <v>9.2700000000000007E-16</v>
      </c>
      <c r="E141" s="44">
        <v>6.8300000000000002E-13</v>
      </c>
    </row>
    <row r="142" spans="2:5">
      <c r="B142" s="1" t="s">
        <v>173</v>
      </c>
      <c r="C142" s="56">
        <v>4.0800000000000002E-5</v>
      </c>
      <c r="D142" s="57">
        <v>1.42E-7</v>
      </c>
      <c r="E142" s="44">
        <v>2.4399999999999999E-4</v>
      </c>
    </row>
    <row r="143" spans="2:5">
      <c r="B143" s="1" t="s">
        <v>174</v>
      </c>
      <c r="C143" s="56">
        <v>6.02E-4</v>
      </c>
      <c r="D143" s="57">
        <v>6.3300000000000004E-6</v>
      </c>
      <c r="E143" s="44">
        <v>5.9299999999999999E-4</v>
      </c>
    </row>
    <row r="145" spans="2:14" ht="15" thickBot="1"/>
    <row r="146" spans="2:14" ht="15" thickBot="1">
      <c r="B146" s="33" t="s">
        <v>178</v>
      </c>
      <c r="C146" s="32" t="s">
        <v>187</v>
      </c>
    </row>
    <row r="149" spans="2:14">
      <c r="B149" s="252" t="s">
        <v>188</v>
      </c>
      <c r="C149" s="252"/>
      <c r="D149" s="252"/>
      <c r="E149" s="252"/>
      <c r="F149" s="252"/>
      <c r="G149" s="252"/>
      <c r="H149" s="252"/>
      <c r="I149" s="252"/>
      <c r="J149" s="252"/>
      <c r="K149" s="47"/>
      <c r="L149" s="47"/>
      <c r="M149" s="47"/>
      <c r="N149" s="47"/>
    </row>
    <row r="150" spans="2:14">
      <c r="B150" s="42" t="s">
        <v>179</v>
      </c>
      <c r="C150" s="42" t="s">
        <v>33</v>
      </c>
      <c r="D150" s="42" t="s">
        <v>34</v>
      </c>
      <c r="E150" s="42" t="s">
        <v>35</v>
      </c>
      <c r="F150" s="42" t="s">
        <v>50</v>
      </c>
      <c r="G150" s="248" t="s">
        <v>556</v>
      </c>
      <c r="H150" s="249"/>
      <c r="I150" s="119" t="s">
        <v>189</v>
      </c>
      <c r="J150" s="42" t="s">
        <v>190</v>
      </c>
      <c r="K150" s="46"/>
      <c r="L150" s="46"/>
      <c r="M150" s="46"/>
      <c r="N150" s="46"/>
    </row>
    <row r="151" spans="2:14" ht="44.25" customHeight="1">
      <c r="B151" s="178" t="s">
        <v>2</v>
      </c>
      <c r="C151" s="178" t="s">
        <v>191</v>
      </c>
      <c r="D151" s="278"/>
      <c r="E151" s="281"/>
      <c r="F151" s="278"/>
      <c r="G151" s="122" t="s">
        <v>685</v>
      </c>
      <c r="H151" s="123" t="s">
        <v>686</v>
      </c>
      <c r="I151" s="284">
        <v>0.2</v>
      </c>
      <c r="J151" s="178" t="s">
        <v>557</v>
      </c>
    </row>
    <row r="152" spans="2:14" ht="72" customHeight="1">
      <c r="B152" s="251"/>
      <c r="C152" s="251"/>
      <c r="D152" s="279"/>
      <c r="E152" s="282"/>
      <c r="F152" s="279"/>
      <c r="G152" s="122" t="s">
        <v>634</v>
      </c>
      <c r="H152" s="123" t="s">
        <v>635</v>
      </c>
      <c r="I152" s="285"/>
      <c r="J152" s="251"/>
    </row>
    <row r="153" spans="2:14" ht="72" customHeight="1">
      <c r="B153" s="251"/>
      <c r="C153" s="251"/>
      <c r="D153" s="279"/>
      <c r="E153" s="282"/>
      <c r="F153" s="279"/>
      <c r="G153" s="122" t="s">
        <v>759</v>
      </c>
      <c r="H153" s="123" t="s">
        <v>760</v>
      </c>
      <c r="I153" s="285"/>
      <c r="J153" s="251"/>
    </row>
    <row r="154" spans="2:14" ht="67.5" customHeight="1">
      <c r="B154" s="179"/>
      <c r="C154" s="179"/>
      <c r="D154" s="280"/>
      <c r="E154" s="283"/>
      <c r="F154" s="280"/>
      <c r="G154" s="122" t="s">
        <v>637</v>
      </c>
      <c r="H154" s="123" t="s">
        <v>638</v>
      </c>
      <c r="I154" s="286"/>
      <c r="J154" s="179"/>
    </row>
    <row r="155" spans="2:14" ht="67.5" customHeight="1">
      <c r="B155" s="34" t="s">
        <v>180</v>
      </c>
      <c r="C155" s="36" t="s">
        <v>565</v>
      </c>
      <c r="D155" s="36" t="s">
        <v>199</v>
      </c>
      <c r="E155" s="36"/>
      <c r="F155" s="34"/>
      <c r="G155" s="52" t="s">
        <v>639</v>
      </c>
      <c r="H155" s="53" t="s">
        <v>640</v>
      </c>
      <c r="I155" s="120">
        <v>0</v>
      </c>
      <c r="J155" s="36" t="s">
        <v>192</v>
      </c>
      <c r="L155" t="s">
        <v>558</v>
      </c>
    </row>
    <row r="156" spans="2:14" ht="43.5">
      <c r="B156" s="138" t="s">
        <v>181</v>
      </c>
      <c r="C156" s="121" t="s">
        <v>566</v>
      </c>
      <c r="D156" s="121" t="s">
        <v>193</v>
      </c>
      <c r="E156" s="125"/>
      <c r="F156" s="124"/>
      <c r="G156" s="122" t="s">
        <v>762</v>
      </c>
      <c r="H156" s="126" t="s">
        <v>761</v>
      </c>
      <c r="I156" s="120" t="s">
        <v>763</v>
      </c>
      <c r="J156" s="121" t="s">
        <v>559</v>
      </c>
    </row>
    <row r="157" spans="2:14" ht="45" customHeight="1">
      <c r="B157" s="37" t="s">
        <v>182</v>
      </c>
      <c r="C157" s="36" t="s">
        <v>297</v>
      </c>
      <c r="D157" s="36" t="s">
        <v>549</v>
      </c>
      <c r="E157" s="36" t="s">
        <v>298</v>
      </c>
      <c r="F157" s="36" t="s">
        <v>299</v>
      </c>
      <c r="G157" s="36" t="s">
        <v>641</v>
      </c>
      <c r="H157" s="36" t="s">
        <v>642</v>
      </c>
      <c r="I157" s="120">
        <v>1</v>
      </c>
      <c r="J157" s="45" t="s">
        <v>643</v>
      </c>
    </row>
    <row r="158" spans="2:14" ht="174.75" customHeight="1">
      <c r="B158" s="34" t="s">
        <v>183</v>
      </c>
      <c r="C158" s="36" t="s">
        <v>297</v>
      </c>
      <c r="D158" s="36" t="s">
        <v>547</v>
      </c>
      <c r="E158" s="36" t="s">
        <v>298</v>
      </c>
      <c r="F158" s="36" t="s">
        <v>299</v>
      </c>
      <c r="G158" s="36" t="s">
        <v>689</v>
      </c>
      <c r="H158" s="36" t="s">
        <v>687</v>
      </c>
      <c r="I158" s="120" t="s">
        <v>688</v>
      </c>
      <c r="J158" s="45" t="s">
        <v>560</v>
      </c>
    </row>
    <row r="159" spans="2:14" ht="87">
      <c r="B159" s="34" t="s">
        <v>184</v>
      </c>
      <c r="C159" s="36" t="s">
        <v>297</v>
      </c>
      <c r="D159" s="36" t="s">
        <v>548</v>
      </c>
      <c r="E159" s="36" t="s">
        <v>298</v>
      </c>
      <c r="F159" s="36" t="s">
        <v>299</v>
      </c>
      <c r="G159" s="36" t="s">
        <v>764</v>
      </c>
      <c r="H159" s="36" t="s">
        <v>765</v>
      </c>
      <c r="I159" s="120" t="s">
        <v>766</v>
      </c>
      <c r="J159" s="45" t="s">
        <v>644</v>
      </c>
    </row>
    <row r="162" spans="2:13">
      <c r="B162" s="252" t="s">
        <v>198</v>
      </c>
      <c r="C162" s="252"/>
      <c r="D162" s="252"/>
      <c r="E162" s="252"/>
      <c r="F162" s="252"/>
      <c r="G162" s="252"/>
      <c r="H162" s="252"/>
      <c r="I162" s="252"/>
      <c r="J162" s="252"/>
    </row>
    <row r="163" spans="2:13">
      <c r="B163" s="42" t="s">
        <v>179</v>
      </c>
      <c r="C163" s="42" t="s">
        <v>33</v>
      </c>
      <c r="D163" s="42" t="s">
        <v>34</v>
      </c>
      <c r="E163" s="42" t="s">
        <v>35</v>
      </c>
      <c r="F163" s="42" t="s">
        <v>50</v>
      </c>
      <c r="G163" s="248" t="s">
        <v>196</v>
      </c>
      <c r="H163" s="249"/>
      <c r="I163" s="119" t="s">
        <v>189</v>
      </c>
      <c r="J163" s="42" t="s">
        <v>190</v>
      </c>
    </row>
    <row r="164" spans="2:13" ht="79.5" customHeight="1">
      <c r="B164" s="246" t="s">
        <v>2</v>
      </c>
      <c r="C164" s="178" t="s">
        <v>194</v>
      </c>
      <c r="D164" s="178" t="s">
        <v>195</v>
      </c>
      <c r="E164" s="246"/>
      <c r="F164" s="178"/>
      <c r="G164" s="145" t="s">
        <v>690</v>
      </c>
      <c r="H164" s="123" t="s">
        <v>645</v>
      </c>
      <c r="I164" s="284">
        <v>0.2</v>
      </c>
      <c r="J164" s="178" t="s">
        <v>197</v>
      </c>
    </row>
    <row r="165" spans="2:13" ht="31.5" customHeight="1">
      <c r="B165" s="250"/>
      <c r="C165" s="251"/>
      <c r="D165" s="251"/>
      <c r="E165" s="250"/>
      <c r="F165" s="251"/>
      <c r="G165" s="144" t="s">
        <v>646</v>
      </c>
      <c r="H165" s="146" t="s">
        <v>636</v>
      </c>
      <c r="I165" s="285"/>
      <c r="J165" s="251"/>
    </row>
    <row r="166" spans="2:13" ht="45.75" customHeight="1">
      <c r="B166" s="247"/>
      <c r="C166" s="179"/>
      <c r="D166" s="179"/>
      <c r="E166" s="247"/>
      <c r="F166" s="179"/>
      <c r="G166" s="144" t="s">
        <v>691</v>
      </c>
      <c r="H166" s="146" t="s">
        <v>692</v>
      </c>
      <c r="I166" s="286"/>
      <c r="J166" s="179"/>
    </row>
    <row r="167" spans="2:13" ht="67.5" customHeight="1">
      <c r="B167" s="34" t="s">
        <v>180</v>
      </c>
      <c r="C167" s="36" t="s">
        <v>567</v>
      </c>
      <c r="D167" s="36" t="s">
        <v>200</v>
      </c>
      <c r="E167" s="36"/>
      <c r="F167" s="34"/>
      <c r="G167" s="52" t="s">
        <v>647</v>
      </c>
      <c r="H167" s="53" t="s">
        <v>648</v>
      </c>
      <c r="I167" s="120">
        <v>0</v>
      </c>
      <c r="J167" s="36" t="s">
        <v>201</v>
      </c>
    </row>
    <row r="168" spans="2:13" ht="99.75" customHeight="1">
      <c r="B168" s="246" t="s">
        <v>181</v>
      </c>
      <c r="C168" s="178" t="s">
        <v>566</v>
      </c>
      <c r="D168" s="178" t="s">
        <v>202</v>
      </c>
      <c r="E168" s="178" t="s">
        <v>649</v>
      </c>
      <c r="F168" s="178"/>
      <c r="G168" s="145" t="s">
        <v>768</v>
      </c>
      <c r="H168" s="123" t="s">
        <v>769</v>
      </c>
      <c r="I168" s="120" t="s">
        <v>771</v>
      </c>
      <c r="J168" s="178" t="s">
        <v>203</v>
      </c>
    </row>
    <row r="169" spans="2:13" ht="61.5" customHeight="1">
      <c r="B169" s="247"/>
      <c r="C169" s="179"/>
      <c r="D169" s="179"/>
      <c r="E169" s="179"/>
      <c r="F169" s="179"/>
      <c r="G169" s="144" t="s">
        <v>767</v>
      </c>
      <c r="H169" s="146" t="s">
        <v>770</v>
      </c>
      <c r="I169" s="120"/>
      <c r="J169" s="179"/>
    </row>
    <row r="170" spans="2:13" ht="107.25" customHeight="1">
      <c r="B170" s="34" t="s">
        <v>182</v>
      </c>
      <c r="C170" s="36" t="s">
        <v>297</v>
      </c>
      <c r="D170" s="36" t="s">
        <v>549</v>
      </c>
      <c r="E170" s="36" t="s">
        <v>298</v>
      </c>
      <c r="F170" s="36" t="s">
        <v>299</v>
      </c>
      <c r="G170" s="36" t="s">
        <v>693</v>
      </c>
      <c r="H170" s="36" t="s">
        <v>694</v>
      </c>
      <c r="I170" s="120">
        <v>1</v>
      </c>
      <c r="J170" s="45" t="s">
        <v>608</v>
      </c>
    </row>
    <row r="171" spans="2:13" ht="213.75" customHeight="1">
      <c r="B171" s="34" t="s">
        <v>183</v>
      </c>
      <c r="C171" s="36" t="s">
        <v>297</v>
      </c>
      <c r="D171" s="36" t="s">
        <v>547</v>
      </c>
      <c r="E171" s="36" t="s">
        <v>298</v>
      </c>
      <c r="F171" s="36" t="s">
        <v>299</v>
      </c>
      <c r="G171" s="36" t="s">
        <v>772</v>
      </c>
      <c r="H171" s="36" t="s">
        <v>773</v>
      </c>
      <c r="I171" s="120" t="s">
        <v>614</v>
      </c>
      <c r="J171" s="45" t="s">
        <v>561</v>
      </c>
    </row>
    <row r="172" spans="2:13" ht="183" customHeight="1">
      <c r="B172" s="34" t="s">
        <v>184</v>
      </c>
      <c r="C172" s="36" t="s">
        <v>297</v>
      </c>
      <c r="D172" s="36" t="s">
        <v>548</v>
      </c>
      <c r="E172" s="36" t="s">
        <v>298</v>
      </c>
      <c r="F172" s="36" t="s">
        <v>299</v>
      </c>
      <c r="G172" s="36" t="s">
        <v>774</v>
      </c>
      <c r="H172" s="36" t="s">
        <v>775</v>
      </c>
      <c r="I172" s="120" t="s">
        <v>776</v>
      </c>
      <c r="J172" s="45" t="s">
        <v>561</v>
      </c>
    </row>
    <row r="173" spans="2:13" ht="15" thickBot="1"/>
    <row r="174" spans="2:13">
      <c r="B174" s="272" t="s">
        <v>432</v>
      </c>
      <c r="C174" s="273"/>
      <c r="D174" s="273"/>
      <c r="E174" s="273"/>
      <c r="F174" s="273"/>
      <c r="G174" s="273"/>
      <c r="H174" s="273"/>
      <c r="I174" s="273"/>
      <c r="J174" s="273"/>
      <c r="K174" s="273"/>
      <c r="L174" s="273"/>
      <c r="M174" s="274"/>
    </row>
    <row r="175" spans="2:13">
      <c r="B175" t="s">
        <v>527</v>
      </c>
    </row>
    <row r="176" spans="2:13" ht="15" thickBot="1"/>
    <row r="177" spans="2:5" ht="17" thickBot="1">
      <c r="B177" s="33" t="s">
        <v>77</v>
      </c>
      <c r="C177" s="32" t="s">
        <v>78</v>
      </c>
    </row>
    <row r="179" spans="2:5">
      <c r="B179" s="38" t="s">
        <v>161</v>
      </c>
    </row>
    <row r="181" spans="2:5">
      <c r="B181" s="253" t="s">
        <v>101</v>
      </c>
      <c r="C181" s="253"/>
      <c r="D181" s="253"/>
      <c r="E181" s="253"/>
    </row>
    <row r="182" spans="2:5">
      <c r="B182" s="42" t="s">
        <v>66</v>
      </c>
      <c r="C182" s="42" t="s">
        <v>244</v>
      </c>
      <c r="D182" s="42" t="s">
        <v>87</v>
      </c>
      <c r="E182" s="42" t="s">
        <v>102</v>
      </c>
    </row>
    <row r="183" spans="2:5">
      <c r="B183" s="36" t="s">
        <v>152</v>
      </c>
      <c r="C183" s="34">
        <f>C186*1.2</f>
        <v>0.99959999999999993</v>
      </c>
      <c r="D183" s="36" t="s">
        <v>154</v>
      </c>
      <c r="E183" s="36" t="s">
        <v>150</v>
      </c>
    </row>
    <row r="184" spans="2:5">
      <c r="B184" s="36" t="s">
        <v>153</v>
      </c>
      <c r="C184" s="34">
        <f>C187*1.5</f>
        <v>2.9729999999999999</v>
      </c>
      <c r="D184" s="36" t="s">
        <v>154</v>
      </c>
      <c r="E184" s="34" t="s">
        <v>150</v>
      </c>
    </row>
    <row r="185" spans="2:5">
      <c r="B185" s="253" t="s">
        <v>123</v>
      </c>
      <c r="C185" s="253"/>
      <c r="D185" s="253"/>
      <c r="E185" s="253"/>
    </row>
    <row r="186" spans="2:5">
      <c r="B186" s="1" t="s">
        <v>156</v>
      </c>
      <c r="C186" s="43">
        <v>0.83299999999999996</v>
      </c>
      <c r="D186" s="1"/>
      <c r="E186" s="1"/>
    </row>
    <row r="187" spans="2:5">
      <c r="B187" s="1" t="s">
        <v>155</v>
      </c>
      <c r="C187" s="43">
        <v>1.982</v>
      </c>
      <c r="D187" s="1"/>
      <c r="E187" s="1"/>
    </row>
    <row r="189" spans="2:5">
      <c r="B189" s="253" t="s">
        <v>101</v>
      </c>
      <c r="C189" s="253"/>
      <c r="D189" s="253"/>
      <c r="E189" s="253"/>
    </row>
    <row r="190" spans="2:5">
      <c r="B190" s="42" t="s">
        <v>66</v>
      </c>
      <c r="C190" s="42" t="s">
        <v>244</v>
      </c>
      <c r="D190" s="42" t="s">
        <v>87</v>
      </c>
      <c r="E190" s="42" t="s">
        <v>102</v>
      </c>
    </row>
    <row r="191" spans="2:5">
      <c r="B191" s="36" t="s">
        <v>157</v>
      </c>
      <c r="C191" s="34">
        <f>C193*1.5</f>
        <v>0.35249999999999998</v>
      </c>
      <c r="D191" s="36" t="s">
        <v>154</v>
      </c>
      <c r="E191" s="34" t="s">
        <v>159</v>
      </c>
    </row>
    <row r="192" spans="2:5">
      <c r="B192" s="253" t="s">
        <v>123</v>
      </c>
      <c r="C192" s="253"/>
      <c r="D192" s="253"/>
      <c r="E192" s="253"/>
    </row>
    <row r="193" spans="2:6">
      <c r="B193" s="1" t="s">
        <v>158</v>
      </c>
      <c r="C193" s="43">
        <v>0.23499999999999999</v>
      </c>
      <c r="D193" s="1"/>
      <c r="E193" s="1"/>
    </row>
    <row r="195" spans="2:6">
      <c r="B195" s="253" t="s">
        <v>101</v>
      </c>
      <c r="C195" s="253"/>
      <c r="D195" s="253"/>
      <c r="E195" s="253"/>
    </row>
    <row r="196" spans="2:6">
      <c r="B196" s="42" t="s">
        <v>66</v>
      </c>
      <c r="C196" s="42" t="s">
        <v>244</v>
      </c>
      <c r="D196" s="42" t="s">
        <v>87</v>
      </c>
      <c r="E196" s="42" t="s">
        <v>102</v>
      </c>
    </row>
    <row r="197" spans="2:6" ht="43.5">
      <c r="B197" s="36" t="s">
        <v>435</v>
      </c>
      <c r="C197" s="34">
        <v>1.079</v>
      </c>
      <c r="D197" s="36" t="s">
        <v>437</v>
      </c>
      <c r="E197" s="117" t="s">
        <v>438</v>
      </c>
    </row>
    <row r="198" spans="2:6" ht="43.5">
      <c r="B198" s="36" t="s">
        <v>436</v>
      </c>
      <c r="C198" s="34">
        <v>1.2490000000000001</v>
      </c>
      <c r="D198" s="36" t="s">
        <v>437</v>
      </c>
      <c r="E198" s="34" t="s">
        <v>439</v>
      </c>
    </row>
    <row r="199" spans="2:6">
      <c r="B199" s="253" t="s">
        <v>123</v>
      </c>
      <c r="C199" s="253"/>
      <c r="D199" s="253"/>
      <c r="E199" s="253"/>
    </row>
    <row r="200" spans="2:6">
      <c r="B200" s="1" t="s">
        <v>433</v>
      </c>
      <c r="C200" s="43">
        <v>1.079</v>
      </c>
      <c r="D200" s="1"/>
      <c r="E200" s="1"/>
    </row>
    <row r="201" spans="2:6">
      <c r="B201" s="1" t="s">
        <v>434</v>
      </c>
      <c r="C201" s="43">
        <f>C198</f>
        <v>1.2490000000000001</v>
      </c>
      <c r="D201" s="1"/>
      <c r="E201" s="1"/>
    </row>
    <row r="203" spans="2:6">
      <c r="B203" s="38" t="s">
        <v>440</v>
      </c>
    </row>
    <row r="205" spans="2:6">
      <c r="B205" s="255" t="s">
        <v>441</v>
      </c>
      <c r="C205" s="256"/>
      <c r="D205" s="41" t="s">
        <v>442</v>
      </c>
      <c r="E205" s="257" t="s">
        <v>87</v>
      </c>
      <c r="F205" s="257"/>
    </row>
    <row r="206" spans="2:6">
      <c r="B206" s="214"/>
      <c r="C206" s="243"/>
      <c r="D206" s="34">
        <v>0.94199999999999995</v>
      </c>
      <c r="E206" s="254" t="s">
        <v>443</v>
      </c>
      <c r="F206" s="254"/>
    </row>
    <row r="207" spans="2:6" ht="32.25" customHeight="1">
      <c r="B207" s="214"/>
      <c r="C207" s="243"/>
      <c r="D207" s="34">
        <v>0.25</v>
      </c>
      <c r="E207" s="259" t="s">
        <v>444</v>
      </c>
      <c r="F207" s="260"/>
    </row>
    <row r="208" spans="2:6">
      <c r="B208" s="214"/>
      <c r="C208" s="243"/>
      <c r="D208" s="34">
        <v>0.09</v>
      </c>
      <c r="E208" s="259" t="s">
        <v>445</v>
      </c>
      <c r="F208" s="260"/>
    </row>
    <row r="209" spans="2:6" ht="18.75" customHeight="1">
      <c r="B209" s="214"/>
      <c r="C209" s="243"/>
      <c r="D209" s="34">
        <v>0.11700000000000001</v>
      </c>
      <c r="E209" s="259" t="s">
        <v>446</v>
      </c>
      <c r="F209" s="260"/>
    </row>
    <row r="210" spans="2:6" ht="49.5" customHeight="1">
      <c r="B210" s="214"/>
      <c r="C210" s="243"/>
      <c r="D210" s="34">
        <v>1.603E-3</v>
      </c>
      <c r="E210" s="259" t="s">
        <v>447</v>
      </c>
      <c r="F210" s="260"/>
    </row>
    <row r="211" spans="2:6" ht="57" customHeight="1">
      <c r="B211" s="214"/>
      <c r="C211" s="243"/>
      <c r="D211" s="34">
        <v>2.2680000000000001E-3</v>
      </c>
      <c r="E211" s="254" t="s">
        <v>447</v>
      </c>
      <c r="F211" s="261"/>
    </row>
    <row r="212" spans="2:6">
      <c r="B212" s="244" t="s">
        <v>90</v>
      </c>
      <c r="C212" s="245"/>
      <c r="D212" s="39">
        <v>0.23380000000000001</v>
      </c>
      <c r="E212" s="213"/>
      <c r="F212" s="213"/>
    </row>
    <row r="214" spans="2:6">
      <c r="B214" s="255" t="s">
        <v>448</v>
      </c>
      <c r="C214" s="256"/>
      <c r="D214" s="40" t="s">
        <v>449</v>
      </c>
      <c r="E214" s="257" t="s">
        <v>87</v>
      </c>
      <c r="F214" s="257"/>
    </row>
    <row r="215" spans="2:6" ht="51" customHeight="1">
      <c r="B215" s="214"/>
      <c r="C215" s="243"/>
      <c r="D215" s="34">
        <v>2.9499999999999998E-2</v>
      </c>
      <c r="E215" s="254" t="s">
        <v>450</v>
      </c>
      <c r="F215" s="254"/>
    </row>
    <row r="216" spans="2:6" ht="49.5" customHeight="1">
      <c r="B216" s="214"/>
      <c r="C216" s="243"/>
      <c r="D216" s="34">
        <v>3.5999999999999997E-2</v>
      </c>
      <c r="E216" s="254" t="s">
        <v>451</v>
      </c>
      <c r="F216" s="261"/>
    </row>
    <row r="217" spans="2:6">
      <c r="B217" s="244" t="s">
        <v>90</v>
      </c>
      <c r="C217" s="245"/>
      <c r="D217" s="39">
        <v>3.2750000000000001E-2</v>
      </c>
      <c r="E217" s="213"/>
      <c r="F217" s="213"/>
    </row>
    <row r="219" spans="2:6">
      <c r="B219" s="255" t="s">
        <v>452</v>
      </c>
      <c r="C219" s="256"/>
      <c r="D219" s="41" t="s">
        <v>453</v>
      </c>
      <c r="E219" s="257" t="s">
        <v>87</v>
      </c>
      <c r="F219" s="257"/>
    </row>
    <row r="220" spans="2:6">
      <c r="B220" s="214"/>
      <c r="C220" s="243"/>
      <c r="D220" s="34">
        <v>1.125E-2</v>
      </c>
      <c r="E220" s="254" t="s">
        <v>454</v>
      </c>
      <c r="F220" s="254"/>
    </row>
    <row r="221" spans="2:6" ht="31.5" customHeight="1">
      <c r="B221" s="214"/>
      <c r="C221" s="243"/>
      <c r="D221" s="34">
        <v>3.68</v>
      </c>
      <c r="E221" s="259" t="s">
        <v>455</v>
      </c>
      <c r="F221" s="260"/>
    </row>
    <row r="222" spans="2:6">
      <c r="B222" s="214"/>
      <c r="C222" s="243"/>
      <c r="D222" s="34">
        <v>4.2</v>
      </c>
      <c r="E222" s="259" t="s">
        <v>456</v>
      </c>
      <c r="F222" s="260"/>
    </row>
    <row r="223" spans="2:6">
      <c r="B223" s="214"/>
      <c r="C223" s="243"/>
      <c r="D223" s="34">
        <v>3.1248</v>
      </c>
      <c r="E223" s="259" t="s">
        <v>456</v>
      </c>
      <c r="F223" s="260"/>
    </row>
    <row r="224" spans="2:6">
      <c r="B224" s="214"/>
      <c r="C224" s="243"/>
      <c r="D224" s="34">
        <v>1.764</v>
      </c>
      <c r="E224" s="259" t="s">
        <v>456</v>
      </c>
      <c r="F224" s="260"/>
    </row>
    <row r="225" spans="2:6">
      <c r="B225" s="214"/>
      <c r="C225" s="243"/>
      <c r="D225" s="34">
        <v>1.3440000000000001</v>
      </c>
      <c r="E225" s="254" t="s">
        <v>457</v>
      </c>
      <c r="F225" s="261"/>
    </row>
    <row r="226" spans="2:6">
      <c r="B226" s="244"/>
      <c r="C226" s="245"/>
      <c r="D226" s="34">
        <v>1.1060000000000001</v>
      </c>
      <c r="E226" s="254" t="s">
        <v>457</v>
      </c>
      <c r="F226" s="261"/>
    </row>
    <row r="227" spans="2:6">
      <c r="B227" s="287"/>
      <c r="C227" s="288"/>
      <c r="D227" s="109">
        <v>0.88200000000000001</v>
      </c>
      <c r="E227" s="254" t="s">
        <v>457</v>
      </c>
      <c r="F227" s="261"/>
    </row>
    <row r="228" spans="2:6">
      <c r="B228" s="287"/>
      <c r="C228" s="288"/>
      <c r="D228" s="109">
        <v>0.74199999999999999</v>
      </c>
      <c r="E228" s="254" t="s">
        <v>457</v>
      </c>
      <c r="F228" s="261"/>
    </row>
    <row r="229" spans="2:6">
      <c r="B229" s="287"/>
      <c r="C229" s="288"/>
      <c r="D229" s="109">
        <v>0.66779999999999995</v>
      </c>
      <c r="E229" s="254" t="s">
        <v>457</v>
      </c>
      <c r="F229" s="261"/>
    </row>
    <row r="230" spans="2:6">
      <c r="B230" s="287"/>
      <c r="C230" s="288"/>
      <c r="D230" s="109">
        <v>0.71399999999999997</v>
      </c>
      <c r="E230" s="254" t="s">
        <v>457</v>
      </c>
      <c r="F230" s="261"/>
    </row>
    <row r="231" spans="2:6">
      <c r="B231" s="287"/>
      <c r="C231" s="288"/>
      <c r="D231" s="109">
        <v>0.81200000000000006</v>
      </c>
      <c r="E231" s="254" t="s">
        <v>457</v>
      </c>
      <c r="F231" s="261"/>
    </row>
    <row r="232" spans="2:6">
      <c r="B232" s="214"/>
      <c r="C232" s="243"/>
      <c r="D232" s="34">
        <v>0.80500000000000005</v>
      </c>
      <c r="E232" s="254" t="s">
        <v>457</v>
      </c>
      <c r="F232" s="261"/>
    </row>
    <row r="233" spans="2:6">
      <c r="B233" s="244" t="s">
        <v>90</v>
      </c>
      <c r="C233" s="245"/>
      <c r="D233" s="39">
        <v>1.5271399999999999</v>
      </c>
      <c r="E233" s="213"/>
      <c r="F233" s="213"/>
    </row>
    <row r="234" spans="2:6">
      <c r="B234" s="111"/>
      <c r="C234" s="111"/>
      <c r="D234" s="111"/>
      <c r="E234" s="25"/>
      <c r="F234" s="25"/>
    </row>
    <row r="235" spans="2:6">
      <c r="B235" s="255" t="s">
        <v>458</v>
      </c>
      <c r="C235" s="256"/>
      <c r="D235" s="41" t="s">
        <v>459</v>
      </c>
      <c r="E235" s="257" t="s">
        <v>87</v>
      </c>
      <c r="F235" s="257"/>
    </row>
    <row r="236" spans="2:6">
      <c r="B236" s="214"/>
      <c r="C236" s="243"/>
      <c r="D236" s="34">
        <v>5.0000000000000001E-3</v>
      </c>
      <c r="E236" s="254" t="s">
        <v>460</v>
      </c>
      <c r="F236" s="254"/>
    </row>
    <row r="237" spans="2:6">
      <c r="B237" s="214"/>
      <c r="C237" s="243"/>
      <c r="D237" s="34">
        <v>0.01</v>
      </c>
      <c r="E237" s="259" t="s">
        <v>460</v>
      </c>
      <c r="F237" s="260"/>
    </row>
    <row r="238" spans="2:6" ht="49.5" customHeight="1">
      <c r="B238" s="214"/>
      <c r="C238" s="243"/>
      <c r="D238" s="34">
        <v>1.67E-3</v>
      </c>
      <c r="E238" s="259" t="s">
        <v>461</v>
      </c>
      <c r="F238" s="260"/>
    </row>
    <row r="239" spans="2:6" ht="54" customHeight="1">
      <c r="B239" s="214"/>
      <c r="C239" s="243"/>
      <c r="D239" s="34">
        <v>2.2499999999999998E-3</v>
      </c>
      <c r="E239" s="259" t="s">
        <v>462</v>
      </c>
      <c r="F239" s="260"/>
    </row>
    <row r="240" spans="2:6" ht="49.5" customHeight="1">
      <c r="B240" s="214"/>
      <c r="C240" s="243"/>
      <c r="D240" s="34">
        <v>3.0000000000000001E-3</v>
      </c>
      <c r="E240" s="259" t="s">
        <v>463</v>
      </c>
      <c r="F240" s="260"/>
    </row>
    <row r="241" spans="2:6" ht="48.75" customHeight="1">
      <c r="B241" s="214"/>
      <c r="C241" s="243"/>
      <c r="D241" s="34">
        <v>1.67E-2</v>
      </c>
      <c r="E241" s="254" t="s">
        <v>464</v>
      </c>
      <c r="F241" s="261"/>
    </row>
    <row r="242" spans="2:6" ht="54.75" customHeight="1">
      <c r="B242" s="244"/>
      <c r="C242" s="245"/>
      <c r="D242" s="34">
        <v>1.4E-2</v>
      </c>
      <c r="E242" s="254" t="s">
        <v>465</v>
      </c>
      <c r="F242" s="261"/>
    </row>
    <row r="243" spans="2:6" ht="51.75" customHeight="1">
      <c r="B243" s="287"/>
      <c r="C243" s="288"/>
      <c r="D243" s="109">
        <v>8.9999999999999993E-3</v>
      </c>
      <c r="E243" s="254" t="s">
        <v>466</v>
      </c>
      <c r="F243" s="261"/>
    </row>
    <row r="244" spans="2:6">
      <c r="B244" s="244" t="s">
        <v>90</v>
      </c>
      <c r="C244" s="245"/>
      <c r="D244" s="39">
        <v>7.7000000000000002E-3</v>
      </c>
      <c r="E244" s="213"/>
      <c r="F244" s="213"/>
    </row>
    <row r="245" spans="2:6">
      <c r="B245" s="111"/>
      <c r="C245" s="111"/>
      <c r="D245" s="111"/>
      <c r="E245" s="25"/>
      <c r="F245" s="25"/>
    </row>
    <row r="246" spans="2:6">
      <c r="B246" s="255" t="s">
        <v>467</v>
      </c>
      <c r="C246" s="256"/>
      <c r="D246" s="41" t="s">
        <v>468</v>
      </c>
      <c r="E246" s="257" t="s">
        <v>87</v>
      </c>
      <c r="F246" s="257"/>
    </row>
    <row r="247" spans="2:6">
      <c r="B247" s="214"/>
      <c r="C247" s="243"/>
      <c r="D247" s="34">
        <v>0.75600000000000001</v>
      </c>
      <c r="E247" s="254" t="s">
        <v>475</v>
      </c>
      <c r="F247" s="254"/>
    </row>
    <row r="248" spans="2:6" ht="15" customHeight="1">
      <c r="B248" s="214"/>
      <c r="C248" s="243"/>
      <c r="D248" s="34">
        <v>0.64</v>
      </c>
      <c r="E248" s="259" t="s">
        <v>474</v>
      </c>
      <c r="F248" s="260"/>
    </row>
    <row r="249" spans="2:6">
      <c r="B249" s="214"/>
      <c r="C249" s="243"/>
      <c r="D249" s="34">
        <v>1</v>
      </c>
      <c r="E249" s="259" t="s">
        <v>474</v>
      </c>
      <c r="F249" s="260"/>
    </row>
    <row r="250" spans="2:6" ht="15" customHeight="1">
      <c r="B250" s="214"/>
      <c r="C250" s="243"/>
      <c r="D250" s="34">
        <v>0.97199999999999998</v>
      </c>
      <c r="E250" s="259" t="s">
        <v>471</v>
      </c>
      <c r="F250" s="260"/>
    </row>
    <row r="251" spans="2:6">
      <c r="B251" s="214"/>
      <c r="C251" s="243"/>
      <c r="D251" s="34">
        <v>0.82799999999999996</v>
      </c>
      <c r="E251" s="259" t="s">
        <v>471</v>
      </c>
      <c r="F251" s="260"/>
    </row>
    <row r="252" spans="2:6">
      <c r="B252" s="214"/>
      <c r="C252" s="243"/>
      <c r="D252" s="34">
        <v>0.1008</v>
      </c>
      <c r="E252" s="254" t="s">
        <v>473</v>
      </c>
      <c r="F252" s="261"/>
    </row>
    <row r="253" spans="2:6">
      <c r="B253" s="244"/>
      <c r="C253" s="245"/>
      <c r="D253" s="34">
        <v>0.504</v>
      </c>
      <c r="E253" s="254" t="s">
        <v>473</v>
      </c>
      <c r="F253" s="261"/>
    </row>
    <row r="254" spans="2:6">
      <c r="B254" s="287"/>
      <c r="C254" s="288"/>
      <c r="D254" s="109">
        <v>1.512</v>
      </c>
      <c r="E254" s="254" t="s">
        <v>472</v>
      </c>
      <c r="F254" s="261"/>
    </row>
    <row r="255" spans="2:6">
      <c r="B255" s="287"/>
      <c r="C255" s="288"/>
      <c r="D255" s="109">
        <v>0.11899999999999999</v>
      </c>
      <c r="E255" s="254" t="s">
        <v>472</v>
      </c>
      <c r="F255" s="261"/>
    </row>
    <row r="256" spans="2:6">
      <c r="B256" s="287"/>
      <c r="C256" s="288"/>
      <c r="D256" s="109">
        <v>5.3999999999999999E-2</v>
      </c>
      <c r="E256" s="254" t="s">
        <v>471</v>
      </c>
      <c r="F256" s="261"/>
    </row>
    <row r="257" spans="2:6" ht="33.75" customHeight="1">
      <c r="B257" s="287"/>
      <c r="C257" s="288"/>
      <c r="D257" s="109">
        <v>1.288</v>
      </c>
      <c r="E257" s="254" t="s">
        <v>470</v>
      </c>
      <c r="F257" s="261"/>
    </row>
    <row r="258" spans="2:6" ht="30" customHeight="1">
      <c r="B258" s="287"/>
      <c r="C258" s="288"/>
      <c r="D258" s="109">
        <v>2.1</v>
      </c>
      <c r="E258" s="254" t="s">
        <v>470</v>
      </c>
      <c r="F258" s="261"/>
    </row>
    <row r="259" spans="2:6">
      <c r="B259" s="110"/>
      <c r="C259" s="112"/>
      <c r="D259" s="34">
        <v>0.95399999999999996</v>
      </c>
      <c r="E259" s="254" t="s">
        <v>469</v>
      </c>
      <c r="F259" s="261"/>
    </row>
    <row r="260" spans="2:6" ht="16.5" customHeight="1">
      <c r="B260" s="214"/>
      <c r="C260" s="243"/>
      <c r="D260" s="34">
        <v>1.8759999999999999</v>
      </c>
      <c r="E260" s="254" t="s">
        <v>469</v>
      </c>
      <c r="F260" s="261"/>
    </row>
    <row r="261" spans="2:6">
      <c r="B261" s="244" t="s">
        <v>90</v>
      </c>
      <c r="C261" s="245"/>
      <c r="D261" s="39">
        <v>1.1097999999999999</v>
      </c>
      <c r="E261" s="213"/>
      <c r="F261" s="213"/>
    </row>
    <row r="262" spans="2:6">
      <c r="B262" s="111"/>
      <c r="C262" s="111"/>
      <c r="D262" s="111"/>
      <c r="E262" s="25"/>
      <c r="F262" s="25"/>
    </row>
    <row r="263" spans="2:6">
      <c r="B263" s="255" t="s">
        <v>476</v>
      </c>
      <c r="C263" s="256"/>
      <c r="D263" s="41" t="s">
        <v>477</v>
      </c>
      <c r="E263" s="257" t="s">
        <v>87</v>
      </c>
      <c r="F263" s="257"/>
    </row>
    <row r="264" spans="2:6">
      <c r="B264" s="214"/>
      <c r="C264" s="243"/>
      <c r="D264" s="34">
        <v>0.45200000000000001</v>
      </c>
      <c r="E264" s="254" t="s">
        <v>478</v>
      </c>
      <c r="F264" s="254"/>
    </row>
    <row r="265" spans="2:6" ht="48.75" customHeight="1">
      <c r="B265" s="214"/>
      <c r="C265" s="243"/>
      <c r="D265" s="34">
        <v>0.2016</v>
      </c>
      <c r="E265" s="259" t="s">
        <v>479</v>
      </c>
      <c r="F265" s="260"/>
    </row>
    <row r="266" spans="2:6">
      <c r="B266" s="244" t="s">
        <v>90</v>
      </c>
      <c r="C266" s="245"/>
      <c r="D266" s="39">
        <v>0.32679999999999998</v>
      </c>
      <c r="E266" s="213"/>
      <c r="F266" s="213"/>
    </row>
    <row r="267" spans="2:6">
      <c r="B267" s="111"/>
      <c r="C267" s="111"/>
      <c r="D267" s="111"/>
      <c r="E267" s="25"/>
      <c r="F267" s="25"/>
    </row>
    <row r="268" spans="2:6">
      <c r="B268" s="255" t="s">
        <v>480</v>
      </c>
      <c r="C268" s="256"/>
      <c r="D268" s="41" t="s">
        <v>481</v>
      </c>
      <c r="E268" s="257" t="s">
        <v>87</v>
      </c>
      <c r="F268" s="257"/>
    </row>
    <row r="269" spans="2:6">
      <c r="B269" s="214"/>
      <c r="C269" s="243"/>
      <c r="D269" s="34">
        <v>0.23699999999999999</v>
      </c>
      <c r="E269" s="254" t="s">
        <v>482</v>
      </c>
      <c r="F269" s="254"/>
    </row>
    <row r="270" spans="2:6">
      <c r="B270" s="214"/>
      <c r="C270" s="243"/>
      <c r="D270" s="34">
        <v>0.54</v>
      </c>
      <c r="E270" s="261" t="s">
        <v>483</v>
      </c>
      <c r="F270" s="261"/>
    </row>
    <row r="271" spans="2:6">
      <c r="B271" s="214"/>
      <c r="C271" s="243"/>
      <c r="D271" s="34">
        <v>7.1999999999999995E-2</v>
      </c>
      <c r="E271" s="261" t="s">
        <v>483</v>
      </c>
      <c r="F271" s="261"/>
    </row>
    <row r="272" spans="2:6">
      <c r="B272" s="214"/>
      <c r="C272" s="243"/>
      <c r="D272" s="34">
        <v>2.88</v>
      </c>
      <c r="E272" s="261" t="s">
        <v>483</v>
      </c>
      <c r="F272" s="261"/>
    </row>
    <row r="273" spans="2:6" ht="16.5" customHeight="1">
      <c r="B273" s="214"/>
      <c r="C273" s="243"/>
      <c r="D273" s="34">
        <v>0.65500000000000003</v>
      </c>
      <c r="E273" s="254" t="s">
        <v>484</v>
      </c>
      <c r="F273" s="254"/>
    </row>
    <row r="274" spans="2:6">
      <c r="B274" s="244" t="s">
        <v>90</v>
      </c>
      <c r="C274" s="245"/>
      <c r="D274" s="39">
        <v>0.87680000000000002</v>
      </c>
      <c r="E274" s="213"/>
      <c r="F274" s="213"/>
    </row>
    <row r="276" spans="2:6">
      <c r="B276" s="252" t="s">
        <v>101</v>
      </c>
      <c r="C276" s="252"/>
      <c r="D276" s="252"/>
      <c r="E276" s="252"/>
    </row>
    <row r="277" spans="2:6">
      <c r="B277" s="42" t="s">
        <v>66</v>
      </c>
      <c r="C277" s="42" t="s">
        <v>491</v>
      </c>
      <c r="D277" s="42" t="s">
        <v>87</v>
      </c>
      <c r="E277" s="42" t="s">
        <v>102</v>
      </c>
    </row>
    <row r="278" spans="2:6">
      <c r="B278" s="59" t="s">
        <v>485</v>
      </c>
      <c r="C278" s="55">
        <v>0.39939999999999998</v>
      </c>
      <c r="D278" s="59" t="s">
        <v>486</v>
      </c>
      <c r="E278" s="55"/>
    </row>
    <row r="279" spans="2:6" ht="43.5">
      <c r="B279" s="59" t="s">
        <v>487</v>
      </c>
      <c r="C279" s="55">
        <f>4.07434*C278</f>
        <v>1.6272913959999999</v>
      </c>
      <c r="D279" s="59" t="s">
        <v>488</v>
      </c>
      <c r="E279" s="55" t="s">
        <v>110</v>
      </c>
    </row>
    <row r="280" spans="2:6" ht="29">
      <c r="B280" s="59" t="s">
        <v>489</v>
      </c>
      <c r="C280" s="55">
        <f>0.03275*C278</f>
        <v>1.3080349999999999E-2</v>
      </c>
      <c r="D280" s="59" t="s">
        <v>492</v>
      </c>
      <c r="E280" s="59" t="s">
        <v>490</v>
      </c>
    </row>
    <row r="281" spans="2:6" ht="29">
      <c r="B281" s="55" t="s">
        <v>114</v>
      </c>
      <c r="C281" s="55">
        <f>7.7*C278</f>
        <v>3.07538</v>
      </c>
      <c r="D281" s="59" t="s">
        <v>493</v>
      </c>
      <c r="E281" s="55" t="s">
        <v>116</v>
      </c>
    </row>
    <row r="282" spans="2:6">
      <c r="B282" s="258" t="s">
        <v>123</v>
      </c>
      <c r="C282" s="258"/>
      <c r="D282" s="258"/>
      <c r="E282" s="258"/>
    </row>
    <row r="283" spans="2:6">
      <c r="B283" s="58" t="s">
        <v>494</v>
      </c>
      <c r="C283" s="55">
        <f>C278</f>
        <v>0.39939999999999998</v>
      </c>
      <c r="D283" s="58" t="s">
        <v>495</v>
      </c>
      <c r="E283" s="58"/>
    </row>
    <row r="285" spans="2:6">
      <c r="B285" s="38" t="s">
        <v>497</v>
      </c>
    </row>
    <row r="287" spans="2:6" ht="42.75" customHeight="1">
      <c r="B287" s="198" t="s">
        <v>496</v>
      </c>
      <c r="C287" s="198"/>
      <c r="D287" s="198"/>
      <c r="E287" s="198"/>
      <c r="F287" s="198"/>
    </row>
    <row r="288" spans="2:6">
      <c r="B288" s="255" t="s">
        <v>498</v>
      </c>
      <c r="C288" s="256"/>
      <c r="D288" s="41" t="s">
        <v>499</v>
      </c>
      <c r="E288" s="257" t="s">
        <v>87</v>
      </c>
      <c r="F288" s="257"/>
    </row>
    <row r="289" spans="2:6">
      <c r="B289" s="214"/>
      <c r="C289" s="243"/>
      <c r="D289" s="34">
        <v>0.18</v>
      </c>
      <c r="E289" s="254" t="s">
        <v>511</v>
      </c>
      <c r="F289" s="254"/>
    </row>
    <row r="290" spans="2:6" ht="38.25" customHeight="1">
      <c r="B290" s="214"/>
      <c r="C290" s="243"/>
      <c r="D290" s="34">
        <v>1.93</v>
      </c>
      <c r="E290" s="254" t="s">
        <v>510</v>
      </c>
      <c r="F290" s="254"/>
    </row>
    <row r="291" spans="2:6">
      <c r="B291" s="214"/>
      <c r="C291" s="243"/>
      <c r="D291" s="34">
        <v>0.1</v>
      </c>
      <c r="E291" s="259" t="s">
        <v>508</v>
      </c>
      <c r="F291" s="260"/>
    </row>
    <row r="292" spans="2:6">
      <c r="B292" s="214"/>
      <c r="C292" s="243"/>
      <c r="D292" s="34">
        <v>4.8</v>
      </c>
      <c r="E292" s="259" t="s">
        <v>508</v>
      </c>
      <c r="F292" s="260"/>
    </row>
    <row r="293" spans="2:6">
      <c r="B293" s="214"/>
      <c r="C293" s="243"/>
      <c r="D293" s="34">
        <v>0.26</v>
      </c>
      <c r="E293" s="289" t="s">
        <v>509</v>
      </c>
      <c r="F293" s="290"/>
    </row>
    <row r="294" spans="2:6">
      <c r="B294" s="214"/>
      <c r="C294" s="243"/>
      <c r="D294" s="34">
        <v>0.14000000000000001</v>
      </c>
      <c r="E294" s="259" t="s">
        <v>508</v>
      </c>
      <c r="F294" s="260"/>
    </row>
    <row r="295" spans="2:6" ht="36" customHeight="1">
      <c r="B295" s="214"/>
      <c r="C295" s="243"/>
      <c r="D295" s="34">
        <v>6.7</v>
      </c>
      <c r="E295" s="259" t="s">
        <v>507</v>
      </c>
      <c r="F295" s="260"/>
    </row>
    <row r="296" spans="2:6">
      <c r="B296" s="214"/>
      <c r="C296" s="243"/>
      <c r="D296" s="34">
        <v>5.53</v>
      </c>
      <c r="E296" s="289" t="s">
        <v>506</v>
      </c>
      <c r="F296" s="290"/>
    </row>
    <row r="297" spans="2:6">
      <c r="B297" s="214"/>
      <c r="C297" s="243"/>
      <c r="D297" s="34">
        <v>1.03</v>
      </c>
      <c r="E297" s="289" t="s">
        <v>506</v>
      </c>
      <c r="F297" s="290"/>
    </row>
    <row r="298" spans="2:6">
      <c r="B298" s="214"/>
      <c r="C298" s="243"/>
      <c r="D298" s="34">
        <v>0.54</v>
      </c>
      <c r="E298" s="289" t="s">
        <v>506</v>
      </c>
      <c r="F298" s="290"/>
    </row>
    <row r="299" spans="2:6">
      <c r="B299" s="214"/>
      <c r="C299" s="243"/>
      <c r="D299" s="34">
        <v>0.37</v>
      </c>
      <c r="E299" s="289" t="s">
        <v>506</v>
      </c>
      <c r="F299" s="290"/>
    </row>
    <row r="300" spans="2:6" ht="47.25" customHeight="1">
      <c r="B300" s="214"/>
      <c r="C300" s="243"/>
      <c r="D300" s="34">
        <v>0.69</v>
      </c>
      <c r="E300" s="259" t="s">
        <v>505</v>
      </c>
      <c r="F300" s="260"/>
    </row>
    <row r="301" spans="2:6">
      <c r="B301" s="214"/>
      <c r="C301" s="243"/>
      <c r="D301" s="34">
        <v>0.27</v>
      </c>
      <c r="E301" s="289" t="s">
        <v>504</v>
      </c>
      <c r="F301" s="290"/>
    </row>
    <row r="302" spans="2:6">
      <c r="B302" s="214"/>
      <c r="C302" s="243"/>
      <c r="D302" s="34">
        <v>0.17</v>
      </c>
      <c r="E302" s="289" t="s">
        <v>503</v>
      </c>
      <c r="F302" s="290"/>
    </row>
    <row r="303" spans="2:6">
      <c r="B303" s="214"/>
      <c r="C303" s="243"/>
      <c r="D303" s="34">
        <v>0.27</v>
      </c>
      <c r="E303" s="289" t="s">
        <v>503</v>
      </c>
      <c r="F303" s="290"/>
    </row>
    <row r="304" spans="2:6">
      <c r="B304" s="214"/>
      <c r="C304" s="243"/>
      <c r="D304" s="34">
        <v>0.35</v>
      </c>
      <c r="E304" s="289" t="s">
        <v>503</v>
      </c>
      <c r="F304" s="290"/>
    </row>
    <row r="305" spans="2:6">
      <c r="B305" s="214"/>
      <c r="C305" s="243"/>
      <c r="D305" s="34">
        <v>4.75</v>
      </c>
      <c r="E305" s="289" t="s">
        <v>503</v>
      </c>
      <c r="F305" s="290"/>
    </row>
    <row r="306" spans="2:6">
      <c r="B306" s="214"/>
      <c r="C306" s="243"/>
      <c r="D306" s="34">
        <v>0.14000000000000001</v>
      </c>
      <c r="E306" s="289" t="s">
        <v>503</v>
      </c>
      <c r="F306" s="290"/>
    </row>
    <row r="307" spans="2:6" ht="34.5" customHeight="1">
      <c r="B307" s="214"/>
      <c r="C307" s="243"/>
      <c r="D307" s="34">
        <v>2.0299999999999998</v>
      </c>
      <c r="E307" s="259" t="s">
        <v>502</v>
      </c>
      <c r="F307" s="290"/>
    </row>
    <row r="308" spans="2:6">
      <c r="B308" s="214"/>
      <c r="C308" s="243"/>
      <c r="D308" s="34">
        <v>0.52</v>
      </c>
      <c r="E308" s="254" t="s">
        <v>500</v>
      </c>
      <c r="F308" s="254"/>
    </row>
    <row r="309" spans="2:6">
      <c r="B309" s="214"/>
      <c r="C309" s="243"/>
      <c r="D309" s="34">
        <v>0.33</v>
      </c>
      <c r="E309" s="254" t="s">
        <v>500</v>
      </c>
      <c r="F309" s="254"/>
    </row>
    <row r="310" spans="2:6">
      <c r="B310" s="214"/>
      <c r="C310" s="243"/>
      <c r="D310" s="34">
        <v>0.27</v>
      </c>
      <c r="E310" s="254" t="s">
        <v>500</v>
      </c>
      <c r="F310" s="254"/>
    </row>
    <row r="311" spans="2:6" ht="31.5" customHeight="1">
      <c r="B311" s="244" t="s">
        <v>90</v>
      </c>
      <c r="C311" s="245"/>
      <c r="D311" s="39">
        <v>1.649</v>
      </c>
      <c r="E311" s="254" t="s">
        <v>501</v>
      </c>
      <c r="F311" s="254"/>
    </row>
    <row r="313" spans="2:6">
      <c r="B313" s="252" t="s">
        <v>101</v>
      </c>
      <c r="C313" s="252"/>
      <c r="D313" s="252"/>
      <c r="E313" s="252"/>
    </row>
    <row r="314" spans="2:6">
      <c r="B314" s="42" t="s">
        <v>66</v>
      </c>
      <c r="C314" s="42" t="s">
        <v>517</v>
      </c>
      <c r="D314" s="42" t="s">
        <v>87</v>
      </c>
      <c r="E314" s="42" t="s">
        <v>102</v>
      </c>
    </row>
    <row r="315" spans="2:6" ht="29">
      <c r="B315" s="59" t="s">
        <v>512</v>
      </c>
      <c r="C315" s="55">
        <f>1.0195*0.948</f>
        <v>0.96648600000000007</v>
      </c>
      <c r="D315" s="59" t="s">
        <v>529</v>
      </c>
      <c r="E315" s="55"/>
    </row>
    <row r="316" spans="2:6" ht="29">
      <c r="B316" s="59" t="s">
        <v>514</v>
      </c>
      <c r="C316" s="55">
        <f>1.1112*0.948</f>
        <v>1.0534176</v>
      </c>
      <c r="D316" s="59" t="s">
        <v>530</v>
      </c>
      <c r="E316" s="55"/>
    </row>
    <row r="317" spans="2:6" ht="29">
      <c r="B317" s="59" t="s">
        <v>487</v>
      </c>
      <c r="C317" s="55">
        <f>(C315+C316)*1.649</f>
        <v>3.3308210364000002</v>
      </c>
      <c r="D317" s="59" t="s">
        <v>515</v>
      </c>
      <c r="E317" s="55" t="s">
        <v>110</v>
      </c>
    </row>
    <row r="318" spans="2:6">
      <c r="B318" s="258" t="s">
        <v>123</v>
      </c>
      <c r="C318" s="258"/>
      <c r="D318" s="258"/>
      <c r="E318" s="258"/>
    </row>
    <row r="319" spans="2:6">
      <c r="B319" s="58" t="s">
        <v>494</v>
      </c>
      <c r="C319" s="55">
        <f>C315</f>
        <v>0.96648600000000007</v>
      </c>
      <c r="D319" s="58"/>
      <c r="E319" s="58"/>
    </row>
    <row r="320" spans="2:6">
      <c r="B320" s="58" t="s">
        <v>516</v>
      </c>
      <c r="C320" s="55">
        <f>C316</f>
        <v>1.0534176</v>
      </c>
      <c r="D320" s="58"/>
      <c r="E320" s="58"/>
    </row>
    <row r="321" spans="2:6" ht="29">
      <c r="B321" s="55" t="s">
        <v>251</v>
      </c>
      <c r="C321" s="55">
        <f>(1.0195+1.1112)*0.052</f>
        <v>0.1107964</v>
      </c>
      <c r="D321" s="59" t="s">
        <v>518</v>
      </c>
      <c r="E321" s="58"/>
    </row>
    <row r="323" spans="2:6">
      <c r="B323" s="255" t="s">
        <v>96</v>
      </c>
      <c r="C323" s="256"/>
      <c r="D323" s="41" t="s">
        <v>97</v>
      </c>
      <c r="E323" s="257" t="s">
        <v>87</v>
      </c>
      <c r="F323" s="257"/>
    </row>
    <row r="324" spans="2:6">
      <c r="B324" s="214"/>
      <c r="C324" s="243"/>
      <c r="D324" s="34">
        <v>0.10125000000000001</v>
      </c>
      <c r="E324" s="254" t="s">
        <v>88</v>
      </c>
      <c r="F324" s="254"/>
    </row>
    <row r="325" spans="2:6">
      <c r="B325" s="214"/>
      <c r="C325" s="243"/>
      <c r="D325" s="34">
        <v>0.15079000000000001</v>
      </c>
      <c r="E325" s="254" t="s">
        <v>89</v>
      </c>
      <c r="F325" s="261"/>
    </row>
    <row r="326" spans="2:6">
      <c r="B326" s="244" t="s">
        <v>90</v>
      </c>
      <c r="C326" s="245"/>
      <c r="D326" s="39">
        <v>0.126</v>
      </c>
      <c r="E326" s="213"/>
      <c r="F326" s="213"/>
    </row>
    <row r="328" spans="2:6">
      <c r="B328" s="255" t="s">
        <v>92</v>
      </c>
      <c r="C328" s="256"/>
      <c r="D328" s="40" t="s">
        <v>93</v>
      </c>
      <c r="E328" s="257" t="s">
        <v>87</v>
      </c>
      <c r="F328" s="257"/>
    </row>
    <row r="329" spans="2:6">
      <c r="B329" s="214"/>
      <c r="C329" s="243"/>
      <c r="D329" s="34">
        <v>1.44</v>
      </c>
      <c r="E329" s="254" t="s">
        <v>94</v>
      </c>
      <c r="F329" s="254"/>
    </row>
    <row r="330" spans="2:6">
      <c r="B330" s="214"/>
      <c r="C330" s="243"/>
      <c r="D330" s="34">
        <v>2.88</v>
      </c>
      <c r="E330" s="254" t="s">
        <v>95</v>
      </c>
      <c r="F330" s="261"/>
    </row>
    <row r="331" spans="2:6">
      <c r="B331" s="244" t="s">
        <v>90</v>
      </c>
      <c r="C331" s="245"/>
      <c r="D331" s="39">
        <v>2.16</v>
      </c>
      <c r="E331" s="213"/>
      <c r="F331" s="213"/>
    </row>
    <row r="333" spans="2:6">
      <c r="B333" s="255" t="s">
        <v>98</v>
      </c>
      <c r="C333" s="256"/>
      <c r="D333" s="40" t="s">
        <v>99</v>
      </c>
      <c r="E333" s="257" t="s">
        <v>87</v>
      </c>
      <c r="F333" s="257"/>
    </row>
    <row r="334" spans="2:6">
      <c r="B334" s="214"/>
      <c r="C334" s="243"/>
      <c r="D334" s="34">
        <v>11.7</v>
      </c>
      <c r="E334" s="254" t="s">
        <v>100</v>
      </c>
      <c r="F334" s="254"/>
    </row>
    <row r="335" spans="2:6">
      <c r="B335" s="214"/>
      <c r="C335" s="243"/>
      <c r="D335" s="34">
        <v>19.7</v>
      </c>
      <c r="E335" s="254" t="s">
        <v>100</v>
      </c>
      <c r="F335" s="261"/>
    </row>
    <row r="336" spans="2:6">
      <c r="B336" s="244" t="s">
        <v>90</v>
      </c>
      <c r="C336" s="245"/>
      <c r="D336" s="39">
        <v>15.7</v>
      </c>
      <c r="E336" s="213"/>
      <c r="F336" s="213"/>
    </row>
    <row r="339" spans="2:5">
      <c r="B339" s="252" t="s">
        <v>101</v>
      </c>
      <c r="C339" s="252"/>
      <c r="D339" s="252"/>
      <c r="E339" s="252"/>
    </row>
    <row r="340" spans="2:5">
      <c r="B340" s="42" t="s">
        <v>66</v>
      </c>
      <c r="C340" s="42" t="s">
        <v>491</v>
      </c>
      <c r="D340" s="42" t="s">
        <v>87</v>
      </c>
      <c r="E340" s="42" t="s">
        <v>102</v>
      </c>
    </row>
    <row r="341" spans="2:5" ht="29">
      <c r="B341" s="59" t="s">
        <v>103</v>
      </c>
      <c r="C341" s="55">
        <f>C186*0.95</f>
        <v>0.79134999999999989</v>
      </c>
      <c r="D341" s="59" t="s">
        <v>107</v>
      </c>
      <c r="E341" s="55"/>
    </row>
    <row r="342" spans="2:5" ht="29">
      <c r="B342" s="59" t="s">
        <v>105</v>
      </c>
      <c r="C342" s="55">
        <f>C186*0.05</f>
        <v>4.165E-2</v>
      </c>
      <c r="D342" s="59" t="s">
        <v>108</v>
      </c>
      <c r="E342" s="59" t="s">
        <v>106</v>
      </c>
    </row>
    <row r="343" spans="2:5">
      <c r="B343" s="59" t="s">
        <v>112</v>
      </c>
      <c r="C343" s="55">
        <f>C341*(0.126+2.16)</f>
        <v>1.8090260999999999</v>
      </c>
      <c r="D343" s="59" t="s">
        <v>519</v>
      </c>
      <c r="E343" s="55" t="s">
        <v>110</v>
      </c>
    </row>
    <row r="344" spans="2:5" ht="43.5">
      <c r="B344" s="60" t="s">
        <v>111</v>
      </c>
      <c r="C344" s="55">
        <f>C341*0.038</f>
        <v>3.0071299999999995E-2</v>
      </c>
      <c r="D344" s="59" t="s">
        <v>122</v>
      </c>
      <c r="E344" s="59" t="s">
        <v>113</v>
      </c>
    </row>
    <row r="345" spans="2:5">
      <c r="B345" s="55" t="s">
        <v>114</v>
      </c>
      <c r="C345" s="55">
        <f>C341*0.0102</f>
        <v>8.0717699999999989E-3</v>
      </c>
      <c r="D345" s="55" t="s">
        <v>115</v>
      </c>
      <c r="E345" s="55" t="s">
        <v>116</v>
      </c>
    </row>
    <row r="346" spans="2:5" ht="29">
      <c r="B346" s="59" t="s">
        <v>117</v>
      </c>
      <c r="C346" s="55">
        <f>0.95*C187</f>
        <v>1.8828999999999998</v>
      </c>
      <c r="D346" s="59" t="s">
        <v>118</v>
      </c>
      <c r="E346" s="59" t="s">
        <v>104</v>
      </c>
    </row>
    <row r="347" spans="2:5" ht="29">
      <c r="B347" s="59" t="s">
        <v>119</v>
      </c>
      <c r="C347" s="55">
        <f>0.05*C187</f>
        <v>9.9100000000000008E-2</v>
      </c>
      <c r="D347" s="59" t="s">
        <v>120</v>
      </c>
      <c r="E347" s="59" t="s">
        <v>106</v>
      </c>
    </row>
    <row r="348" spans="2:5">
      <c r="B348" s="59" t="s">
        <v>121</v>
      </c>
      <c r="C348" s="55">
        <f>C346*(0.126+2.16)</f>
        <v>4.3043093999999993</v>
      </c>
      <c r="D348" s="59" t="s">
        <v>520</v>
      </c>
      <c r="E348" s="55" t="s">
        <v>110</v>
      </c>
    </row>
    <row r="349" spans="2:5" ht="43.5">
      <c r="B349" s="55" t="s">
        <v>111</v>
      </c>
      <c r="C349" s="55">
        <f>C346*0.038</f>
        <v>7.1550199999999994E-2</v>
      </c>
      <c r="D349" s="59" t="s">
        <v>122</v>
      </c>
      <c r="E349" s="59" t="s">
        <v>113</v>
      </c>
    </row>
    <row r="350" spans="2:5">
      <c r="B350" s="58" t="s">
        <v>114</v>
      </c>
      <c r="C350" s="55">
        <f>C346*0.0102</f>
        <v>1.920558E-2</v>
      </c>
      <c r="D350" s="58" t="s">
        <v>115</v>
      </c>
      <c r="E350" s="55" t="s">
        <v>116</v>
      </c>
    </row>
    <row r="351" spans="2:5">
      <c r="B351" s="258" t="s">
        <v>123</v>
      </c>
      <c r="C351" s="258"/>
      <c r="D351" s="258"/>
      <c r="E351" s="258"/>
    </row>
    <row r="352" spans="2:5">
      <c r="B352" s="58" t="s">
        <v>124</v>
      </c>
      <c r="C352" s="55">
        <f>C341</f>
        <v>0.79134999999999989</v>
      </c>
      <c r="D352" s="58" t="s">
        <v>125</v>
      </c>
      <c r="E352" s="58"/>
    </row>
    <row r="353" spans="2:5">
      <c r="B353" s="58" t="s">
        <v>126</v>
      </c>
      <c r="C353" s="55">
        <f>C342</f>
        <v>4.165E-2</v>
      </c>
      <c r="D353" s="58" t="s">
        <v>125</v>
      </c>
      <c r="E353" s="58"/>
    </row>
    <row r="354" spans="2:5">
      <c r="B354" s="58" t="s">
        <v>127</v>
      </c>
      <c r="C354" s="55">
        <f>C346</f>
        <v>1.8828999999999998</v>
      </c>
      <c r="D354" s="58" t="s">
        <v>125</v>
      </c>
      <c r="E354" s="58"/>
    </row>
    <row r="355" spans="2:5">
      <c r="B355" s="58" t="s">
        <v>128</v>
      </c>
      <c r="C355" s="55">
        <f>C347</f>
        <v>9.9100000000000008E-2</v>
      </c>
      <c r="D355" s="58" t="s">
        <v>125</v>
      </c>
      <c r="E355" s="58"/>
    </row>
    <row r="357" spans="2:5">
      <c r="B357" s="252" t="s">
        <v>101</v>
      </c>
      <c r="C357" s="252"/>
      <c r="D357" s="252"/>
      <c r="E357" s="252"/>
    </row>
    <row r="358" spans="2:5">
      <c r="B358" s="42" t="s">
        <v>66</v>
      </c>
      <c r="C358" s="42" t="s">
        <v>253</v>
      </c>
      <c r="D358" s="42" t="s">
        <v>87</v>
      </c>
      <c r="E358" s="42" t="s">
        <v>102</v>
      </c>
    </row>
    <row r="359" spans="2:5" ht="29">
      <c r="B359" s="59" t="s">
        <v>129</v>
      </c>
      <c r="C359" s="55">
        <f>0.95*C193</f>
        <v>0.22324999999999998</v>
      </c>
      <c r="D359" s="59" t="s">
        <v>133</v>
      </c>
      <c r="E359" s="59" t="s">
        <v>104</v>
      </c>
    </row>
    <row r="360" spans="2:5" ht="29">
      <c r="B360" s="59" t="s">
        <v>130</v>
      </c>
      <c r="C360" s="55">
        <f>0.05*C193</f>
        <v>1.175E-2</v>
      </c>
      <c r="D360" s="59" t="s">
        <v>132</v>
      </c>
      <c r="E360" s="59" t="s">
        <v>106</v>
      </c>
    </row>
    <row r="361" spans="2:5">
      <c r="B361" s="59" t="s">
        <v>131</v>
      </c>
      <c r="C361" s="55">
        <f>(0.126+15.7)*C359</f>
        <v>3.5331544999999993</v>
      </c>
      <c r="D361" s="59" t="s">
        <v>522</v>
      </c>
      <c r="E361" s="55" t="s">
        <v>110</v>
      </c>
    </row>
    <row r="362" spans="2:5" ht="72.5">
      <c r="B362" s="55" t="s">
        <v>134</v>
      </c>
      <c r="C362" s="55">
        <f>0.03668*C359</f>
        <v>8.1888099999999978E-3</v>
      </c>
      <c r="D362" s="59" t="s">
        <v>135</v>
      </c>
      <c r="E362" s="59" t="s">
        <v>136</v>
      </c>
    </row>
    <row r="363" spans="2:5" ht="72.5">
      <c r="B363" s="55" t="s">
        <v>140</v>
      </c>
      <c r="C363" s="55">
        <f>0.00084*C359</f>
        <v>1.8752999999999999E-4</v>
      </c>
      <c r="D363" s="59" t="s">
        <v>141</v>
      </c>
      <c r="E363" s="59" t="s">
        <v>142</v>
      </c>
    </row>
    <row r="364" spans="2:5" ht="72.5">
      <c r="B364" s="55" t="s">
        <v>143</v>
      </c>
      <c r="C364" s="55">
        <f>0.04463*C359</f>
        <v>9.9636474999999988E-3</v>
      </c>
      <c r="D364" s="59" t="s">
        <v>144</v>
      </c>
      <c r="E364" s="59" t="s">
        <v>145</v>
      </c>
    </row>
    <row r="365" spans="2:5" ht="58">
      <c r="B365" s="55" t="s">
        <v>114</v>
      </c>
      <c r="C365" s="55">
        <f>0.0628*C359</f>
        <v>1.4020099999999997E-2</v>
      </c>
      <c r="D365" s="59" t="s">
        <v>146</v>
      </c>
      <c r="E365" s="59" t="s">
        <v>116</v>
      </c>
    </row>
    <row r="366" spans="2:5">
      <c r="B366" s="58" t="s">
        <v>137</v>
      </c>
      <c r="C366" s="55">
        <f>0.002*C359</f>
        <v>4.4649999999999996E-4</v>
      </c>
      <c r="D366" s="58" t="s">
        <v>138</v>
      </c>
      <c r="E366" s="55" t="s">
        <v>139</v>
      </c>
    </row>
    <row r="367" spans="2:5">
      <c r="B367" s="258" t="s">
        <v>123</v>
      </c>
      <c r="C367" s="258"/>
      <c r="D367" s="258"/>
      <c r="E367" s="258"/>
    </row>
    <row r="368" spans="2:5">
      <c r="B368" s="58" t="s">
        <v>147</v>
      </c>
      <c r="C368" s="55">
        <f>C359</f>
        <v>0.22324999999999998</v>
      </c>
      <c r="D368" s="58" t="s">
        <v>125</v>
      </c>
      <c r="E368" s="58"/>
    </row>
    <row r="369" spans="2:5">
      <c r="B369" s="58" t="s">
        <v>148</v>
      </c>
      <c r="C369" s="55">
        <f>C360</f>
        <v>1.175E-2</v>
      </c>
      <c r="D369" s="58" t="s">
        <v>125</v>
      </c>
      <c r="E369" s="58"/>
    </row>
    <row r="371" spans="2:5">
      <c r="B371" s="38" t="s">
        <v>521</v>
      </c>
    </row>
    <row r="373" spans="2:5">
      <c r="B373" s="252" t="s">
        <v>101</v>
      </c>
      <c r="C373" s="252"/>
      <c r="D373" s="252"/>
      <c r="E373" s="252"/>
    </row>
    <row r="374" spans="2:5">
      <c r="B374" s="42" t="s">
        <v>66</v>
      </c>
      <c r="C374" s="42" t="s">
        <v>517</v>
      </c>
      <c r="D374" s="42" t="s">
        <v>87</v>
      </c>
      <c r="E374" s="42" t="s">
        <v>102</v>
      </c>
    </row>
    <row r="375" spans="2:5" ht="29">
      <c r="B375" s="59" t="s">
        <v>523</v>
      </c>
      <c r="C375" s="55">
        <f>C321</f>
        <v>0.1107964</v>
      </c>
      <c r="D375" s="59" t="s">
        <v>513</v>
      </c>
      <c r="E375" s="24" t="s">
        <v>525</v>
      </c>
    </row>
    <row r="376" spans="2:5">
      <c r="B376" s="258" t="s">
        <v>123</v>
      </c>
      <c r="C376" s="258"/>
      <c r="D376" s="258"/>
      <c r="E376" s="258"/>
    </row>
    <row r="377" spans="2:5">
      <c r="B377" s="58" t="s">
        <v>524</v>
      </c>
      <c r="C377" s="55">
        <f>C375</f>
        <v>0.1107964</v>
      </c>
      <c r="D377" s="58"/>
      <c r="E377" s="58"/>
    </row>
    <row r="379" spans="2:5">
      <c r="B379" s="38" t="s">
        <v>176</v>
      </c>
    </row>
    <row r="381" spans="2:5">
      <c r="B381" s="277" t="s">
        <v>531</v>
      </c>
      <c r="C381" s="252"/>
      <c r="D381" s="252"/>
      <c r="E381" s="252"/>
    </row>
    <row r="382" spans="2:5">
      <c r="B382" s="1" t="s">
        <v>162</v>
      </c>
      <c r="C382" s="1" t="s">
        <v>177</v>
      </c>
      <c r="D382" s="58" t="s">
        <v>81</v>
      </c>
      <c r="E382" s="58" t="s">
        <v>175</v>
      </c>
    </row>
    <row r="383" spans="2:5">
      <c r="B383" s="1" t="s">
        <v>163</v>
      </c>
      <c r="C383" s="113">
        <v>1.0499999999999999E-5</v>
      </c>
      <c r="D383" s="57">
        <v>2.5474999999999997E-6</v>
      </c>
      <c r="E383" s="44">
        <v>1.2376152882205513E-9</v>
      </c>
    </row>
    <row r="384" spans="2:5">
      <c r="B384" s="1" t="s">
        <v>164</v>
      </c>
      <c r="C384" s="114">
        <v>405</v>
      </c>
      <c r="D384" s="57">
        <v>7.4266666666666659</v>
      </c>
      <c r="E384" s="44">
        <v>9.346012531328321E-2</v>
      </c>
    </row>
    <row r="385" spans="2:5">
      <c r="B385" s="1" t="s">
        <v>165</v>
      </c>
      <c r="C385" s="114">
        <v>0.11600000000000001</v>
      </c>
      <c r="D385" s="57">
        <v>1.0983333333333333E-3</v>
      </c>
      <c r="E385" s="44">
        <v>1.7452694235588974E-5</v>
      </c>
    </row>
    <row r="386" spans="2:5">
      <c r="B386" s="1" t="s">
        <v>166</v>
      </c>
      <c r="C386" s="114">
        <v>8.8100000000000001E-3</v>
      </c>
      <c r="D386" s="57">
        <v>2.253333333333333E-4</v>
      </c>
      <c r="E386" s="44">
        <v>1.8730162907268171E-6</v>
      </c>
    </row>
    <row r="387" spans="2:5">
      <c r="B387" s="1" t="s">
        <v>167</v>
      </c>
      <c r="C387" s="114">
        <v>0.1845</v>
      </c>
      <c r="D387" s="57">
        <v>1.6758333333333334E-3</v>
      </c>
      <c r="E387" s="44">
        <v>1.5553157894736841E-5</v>
      </c>
    </row>
    <row r="388" spans="2:5">
      <c r="B388" s="1" t="s">
        <v>168</v>
      </c>
      <c r="C388" s="114">
        <v>37.14</v>
      </c>
      <c r="D388" s="57">
        <v>0.72699999999999987</v>
      </c>
      <c r="E388" s="44">
        <v>6.4535213032581463E-3</v>
      </c>
    </row>
    <row r="389" spans="2:5">
      <c r="B389" s="1" t="s">
        <v>169</v>
      </c>
      <c r="C389" s="114">
        <v>37.15</v>
      </c>
      <c r="D389" s="57">
        <v>0.72633333333333328</v>
      </c>
      <c r="E389" s="44">
        <v>6.5381303258145364E-3</v>
      </c>
    </row>
    <row r="390" spans="2:5">
      <c r="B390" s="1" t="s">
        <v>170</v>
      </c>
      <c r="C390" s="114">
        <v>50</v>
      </c>
      <c r="D390" s="57">
        <v>2.9199999999999997E-2</v>
      </c>
      <c r="E390" s="44">
        <v>1.882967418546366E-4</v>
      </c>
    </row>
    <row r="391" spans="2:5">
      <c r="B391" s="1" t="s">
        <v>171</v>
      </c>
      <c r="C391" s="114">
        <v>62700</v>
      </c>
      <c r="D391" s="57">
        <v>86.1</v>
      </c>
      <c r="E391" s="44">
        <v>0.59533182957393482</v>
      </c>
    </row>
    <row r="392" spans="2:5">
      <c r="B392" s="1" t="s">
        <v>172</v>
      </c>
      <c r="C392" s="114">
        <v>6.0300000000000001E-11</v>
      </c>
      <c r="D392" s="57">
        <v>2.8349999999999998E-11</v>
      </c>
      <c r="E392" s="44">
        <v>1.0530538847117795E-14</v>
      </c>
    </row>
    <row r="393" spans="2:5">
      <c r="B393" s="1" t="s">
        <v>173</v>
      </c>
      <c r="C393" s="114">
        <v>6.9100000000000003E-3</v>
      </c>
      <c r="D393" s="57">
        <v>7.5116666666666658E-5</v>
      </c>
      <c r="E393" s="44">
        <v>1.608404761904762E-6</v>
      </c>
    </row>
    <row r="394" spans="2:5">
      <c r="B394" s="1" t="s">
        <v>174</v>
      </c>
      <c r="C394" s="114">
        <v>6.9400000000000003E-2</v>
      </c>
      <c r="D394" s="57">
        <v>1.2308333333333331E-3</v>
      </c>
      <c r="E394" s="44">
        <v>7.1843157894736846E-5</v>
      </c>
    </row>
    <row r="396" spans="2:5">
      <c r="B396" s="277" t="s">
        <v>532</v>
      </c>
      <c r="C396" s="252"/>
      <c r="D396" s="252"/>
      <c r="E396" s="252"/>
    </row>
    <row r="397" spans="2:5">
      <c r="B397" s="1" t="s">
        <v>162</v>
      </c>
      <c r="C397" s="1" t="s">
        <v>177</v>
      </c>
      <c r="D397" s="58" t="s">
        <v>81</v>
      </c>
      <c r="E397" s="58" t="s">
        <v>175</v>
      </c>
    </row>
    <row r="398" spans="2:5">
      <c r="B398" s="1" t="s">
        <v>163</v>
      </c>
      <c r="C398" s="44">
        <v>1.11E-8</v>
      </c>
      <c r="D398" s="57">
        <v>3.0667124555797766E-7</v>
      </c>
      <c r="E398" s="44">
        <v>1.0336265607264472E-10</v>
      </c>
    </row>
    <row r="399" spans="2:5">
      <c r="B399" s="1" t="s">
        <v>164</v>
      </c>
      <c r="C399" s="44">
        <v>6.91</v>
      </c>
      <c r="D399" s="57">
        <v>4.0200600232926211</v>
      </c>
      <c r="E399" s="44">
        <v>7.8022133938706016E-3</v>
      </c>
    </row>
    <row r="400" spans="2:5">
      <c r="B400" s="1" t="s">
        <v>165</v>
      </c>
      <c r="C400" s="44">
        <v>1.65E-3</v>
      </c>
      <c r="D400" s="57">
        <v>5.7934198345626655E-4</v>
      </c>
      <c r="E400" s="44">
        <v>1.4537457434733258E-6</v>
      </c>
    </row>
    <row r="401" spans="2:6">
      <c r="B401" s="1" t="s">
        <v>166</v>
      </c>
      <c r="C401" s="44">
        <v>1.64E-4</v>
      </c>
      <c r="D401" s="57">
        <v>1.1066831904918326E-4</v>
      </c>
      <c r="E401" s="44">
        <v>1.5604426787741203E-7</v>
      </c>
    </row>
    <row r="402" spans="2:6">
      <c r="B402" s="1" t="s">
        <v>167</v>
      </c>
      <c r="C402" s="44">
        <v>9.7900000000000005E-4</v>
      </c>
      <c r="D402" s="57">
        <v>7.7334488010272629E-4</v>
      </c>
      <c r="E402" s="44">
        <v>1.2937003405221339E-6</v>
      </c>
    </row>
    <row r="403" spans="2:6">
      <c r="B403" s="1" t="s">
        <v>168</v>
      </c>
      <c r="C403" s="44">
        <v>0.77300000000000002</v>
      </c>
      <c r="D403" s="57">
        <v>0.40467270881237488</v>
      </c>
      <c r="E403" s="44">
        <v>5.3881952326901249E-4</v>
      </c>
    </row>
    <row r="404" spans="2:6">
      <c r="B404" s="1" t="s">
        <v>169</v>
      </c>
      <c r="C404" s="44">
        <v>0.77300000000000002</v>
      </c>
      <c r="D404" s="57">
        <v>0.40467270881237488</v>
      </c>
      <c r="E404" s="44">
        <v>5.4615493757094208E-4</v>
      </c>
    </row>
    <row r="405" spans="2:6">
      <c r="B405" s="1" t="s">
        <v>170</v>
      </c>
      <c r="C405" s="44">
        <v>7.1999999999999995E-2</v>
      </c>
      <c r="D405" s="57">
        <v>1.5800235912443634E-2</v>
      </c>
      <c r="E405" s="44">
        <v>1.56711123723042E-5</v>
      </c>
    </row>
    <row r="406" spans="2:6">
      <c r="B406" s="1" t="s">
        <v>171</v>
      </c>
      <c r="C406" s="44">
        <v>40.4</v>
      </c>
      <c r="D406" s="57">
        <v>47.600710723564369</v>
      </c>
      <c r="E406" s="44">
        <v>4.9747446083995457E-2</v>
      </c>
    </row>
    <row r="407" spans="2:6">
      <c r="B407" s="1" t="s">
        <v>172</v>
      </c>
      <c r="C407" s="44">
        <v>6.4699999999999997E-13</v>
      </c>
      <c r="D407" s="57">
        <v>1.6066906560754917E-11</v>
      </c>
      <c r="E407" s="44">
        <v>8.8024971623155496E-16</v>
      </c>
    </row>
    <row r="408" spans="2:6">
      <c r="B408" s="1" t="s">
        <v>173</v>
      </c>
      <c r="C408" s="44">
        <v>2.31E-4</v>
      </c>
      <c r="D408" s="57">
        <v>3.86005763430585E-5</v>
      </c>
      <c r="E408" s="44">
        <v>1.3403802497162316E-7</v>
      </c>
    </row>
    <row r="409" spans="2:6">
      <c r="B409" s="1" t="s">
        <v>174</v>
      </c>
      <c r="C409" s="44">
        <v>5.62E-4</v>
      </c>
      <c r="D409" s="57">
        <v>5.7067518738614976E-4</v>
      </c>
      <c r="E409" s="44">
        <v>5.9950340522133935E-6</v>
      </c>
    </row>
    <row r="411" spans="2:6">
      <c r="B411" s="277" t="s">
        <v>528</v>
      </c>
      <c r="C411" s="277"/>
      <c r="D411" s="277"/>
      <c r="E411" s="277"/>
      <c r="F411" s="277"/>
    </row>
    <row r="412" spans="2:6">
      <c r="B412" s="115" t="s">
        <v>162</v>
      </c>
      <c r="C412" s="115" t="s">
        <v>177</v>
      </c>
      <c r="D412" s="58" t="s">
        <v>81</v>
      </c>
      <c r="E412" s="58" t="s">
        <v>175</v>
      </c>
      <c r="F412" s="1" t="s">
        <v>288</v>
      </c>
    </row>
    <row r="413" spans="2:6">
      <c r="B413" s="1" t="s">
        <v>163</v>
      </c>
      <c r="C413" s="57">
        <v>1.1346699999999999E-4</v>
      </c>
      <c r="D413" s="57">
        <v>2.8738823024054981E-7</v>
      </c>
      <c r="E413" s="44">
        <v>1.4460936426116838E-9</v>
      </c>
      <c r="F413" s="116">
        <v>1.8E-7</v>
      </c>
    </row>
    <row r="414" spans="2:6">
      <c r="B414" s="1" t="s">
        <v>164</v>
      </c>
      <c r="C414" s="57">
        <v>98.300000000000011</v>
      </c>
      <c r="D414" s="57">
        <v>3.7250640034364264</v>
      </c>
      <c r="E414" s="44">
        <v>0.10799939862542955</v>
      </c>
      <c r="F414" s="116">
        <v>1.88</v>
      </c>
    </row>
    <row r="415" spans="2:6">
      <c r="B415" s="1" t="s">
        <v>165</v>
      </c>
      <c r="C415" s="57">
        <v>1.6309999999999998E-2</v>
      </c>
      <c r="D415" s="57">
        <v>5.4182749140893464E-4</v>
      </c>
      <c r="E415" s="44">
        <v>1.9128707044673542E-5</v>
      </c>
      <c r="F415" s="116">
        <v>2.7399999999999999E-4</v>
      </c>
    </row>
    <row r="416" spans="2:6">
      <c r="B416" s="1" t="s">
        <v>166</v>
      </c>
      <c r="C416" s="57">
        <v>1.0809999999999999E-3</v>
      </c>
      <c r="D416" s="57">
        <v>1.0342315292096219E-4</v>
      </c>
      <c r="E416" s="44">
        <v>2.1142255154639176E-5</v>
      </c>
      <c r="F416" s="116">
        <v>5.3699999999999997E-5</v>
      </c>
    </row>
    <row r="417" spans="2:10">
      <c r="B417" s="1" t="s">
        <v>167</v>
      </c>
      <c r="C417" s="57">
        <v>2.503E-2</v>
      </c>
      <c r="D417" s="57">
        <v>7.1847057560137453E-4</v>
      </c>
      <c r="E417" s="44">
        <v>3.4413367697594504E-5</v>
      </c>
      <c r="F417" s="116">
        <v>3.86E-4</v>
      </c>
    </row>
    <row r="418" spans="2:10">
      <c r="B418" s="1" t="s">
        <v>168</v>
      </c>
      <c r="C418" s="57">
        <v>3.83</v>
      </c>
      <c r="D418" s="57">
        <v>0.36976065292096222</v>
      </c>
      <c r="E418" s="44">
        <v>7.4501280068728524E-3</v>
      </c>
      <c r="F418" s="116">
        <v>0.186</v>
      </c>
    </row>
    <row r="419" spans="2:10">
      <c r="B419" s="1" t="s">
        <v>169</v>
      </c>
      <c r="C419" s="57">
        <v>3.83</v>
      </c>
      <c r="D419" s="57">
        <v>0.36976065292096222</v>
      </c>
      <c r="E419" s="44">
        <v>7.5416529209622E-3</v>
      </c>
      <c r="F419" s="116">
        <v>0.186</v>
      </c>
    </row>
    <row r="420" spans="2:10">
      <c r="B420" s="1" t="s">
        <v>170</v>
      </c>
      <c r="C420" s="57">
        <v>0.13740000000000002</v>
      </c>
      <c r="D420" s="57">
        <v>1.4827036082474225E-2</v>
      </c>
      <c r="E420" s="44">
        <v>2.2057504295532645E-4</v>
      </c>
      <c r="F420" s="116">
        <v>7.4400000000000004E-3</v>
      </c>
    </row>
    <row r="421" spans="2:10">
      <c r="B421" s="1" t="s">
        <v>171</v>
      </c>
      <c r="C421" s="57">
        <v>196.4</v>
      </c>
      <c r="D421" s="57">
        <v>44.664158075601378</v>
      </c>
      <c r="E421" s="44">
        <v>0.71480957903780074</v>
      </c>
      <c r="F421" s="116">
        <v>22.3</v>
      </c>
    </row>
    <row r="422" spans="2:10">
      <c r="B422" s="1" t="s">
        <v>172</v>
      </c>
      <c r="C422" s="57">
        <v>2.8209999999999999E-11</v>
      </c>
      <c r="D422" s="57">
        <v>1.5101610824742272E-11</v>
      </c>
      <c r="E422" s="44">
        <v>1.2447388316151203E-14</v>
      </c>
      <c r="F422" s="116">
        <v>7.4699999999999995E-12</v>
      </c>
    </row>
    <row r="423" spans="2:10">
      <c r="B423" s="1" t="s">
        <v>173</v>
      </c>
      <c r="C423" s="57">
        <v>1.1949999999999999E-3</v>
      </c>
      <c r="D423" s="57">
        <v>3.6060816151202756E-5</v>
      </c>
      <c r="E423" s="44">
        <v>1.7481258591065291E-6</v>
      </c>
      <c r="F423" s="116">
        <v>1.8300000000000001E-5</v>
      </c>
    </row>
    <row r="424" spans="2:10">
      <c r="B424" s="1" t="s">
        <v>174</v>
      </c>
      <c r="C424" s="57">
        <v>1.072E-2</v>
      </c>
      <c r="D424" s="57">
        <v>5.0979377147766325E-4</v>
      </c>
      <c r="E424" s="44">
        <v>1.5833810137457047E-4</v>
      </c>
      <c r="F424" s="116">
        <v>2.7500000000000002E-4</v>
      </c>
    </row>
    <row r="425" spans="2:10" ht="15" thickBot="1"/>
    <row r="426" spans="2:10" ht="15" thickBot="1">
      <c r="B426" s="33" t="s">
        <v>178</v>
      </c>
      <c r="C426" s="32" t="s">
        <v>187</v>
      </c>
    </row>
    <row r="428" spans="2:10">
      <c r="B428" s="252" t="s">
        <v>551</v>
      </c>
      <c r="C428" s="252"/>
      <c r="D428" s="252"/>
      <c r="E428" s="252"/>
      <c r="F428" s="252"/>
      <c r="G428" s="252"/>
      <c r="H428" s="252"/>
      <c r="I428" s="252"/>
      <c r="J428" s="252"/>
    </row>
    <row r="429" spans="2:10">
      <c r="B429" s="252" t="s">
        <v>552</v>
      </c>
      <c r="C429" s="252"/>
      <c r="D429" s="252"/>
      <c r="E429" s="252"/>
      <c r="F429" s="252"/>
      <c r="G429" s="252"/>
      <c r="H429" s="252"/>
      <c r="I429" s="252"/>
      <c r="J429" s="252"/>
    </row>
    <row r="430" spans="2:10">
      <c r="B430" s="252" t="s">
        <v>553</v>
      </c>
      <c r="C430" s="252"/>
      <c r="D430" s="252"/>
      <c r="E430" s="252"/>
      <c r="F430" s="252"/>
      <c r="G430" s="252"/>
      <c r="H430" s="252"/>
      <c r="I430" s="252"/>
      <c r="J430" s="252"/>
    </row>
    <row r="431" spans="2:10">
      <c r="B431" s="42" t="s">
        <v>179</v>
      </c>
      <c r="C431" s="42" t="s">
        <v>33</v>
      </c>
      <c r="D431" s="42" t="s">
        <v>34</v>
      </c>
      <c r="E431" s="42" t="s">
        <v>35</v>
      </c>
      <c r="F431" s="42" t="s">
        <v>50</v>
      </c>
      <c r="G431" s="248" t="s">
        <v>196</v>
      </c>
      <c r="H431" s="249"/>
      <c r="I431" s="119" t="s">
        <v>189</v>
      </c>
      <c r="J431" s="42" t="s">
        <v>190</v>
      </c>
    </row>
    <row r="432" spans="2:10" ht="116.25" customHeight="1">
      <c r="B432" s="34" t="s">
        <v>2</v>
      </c>
      <c r="C432" s="36" t="s">
        <v>194</v>
      </c>
      <c r="D432" s="36" t="s">
        <v>289</v>
      </c>
      <c r="E432" s="36" t="s">
        <v>562</v>
      </c>
      <c r="F432" s="37"/>
      <c r="G432" s="45" t="s">
        <v>695</v>
      </c>
      <c r="H432" s="45" t="s">
        <v>696</v>
      </c>
      <c r="I432" s="120" t="s">
        <v>554</v>
      </c>
      <c r="J432" s="45" t="s">
        <v>563</v>
      </c>
    </row>
    <row r="433" spans="2:10" ht="29">
      <c r="B433" s="34" t="s">
        <v>180</v>
      </c>
      <c r="C433" s="36" t="s">
        <v>564</v>
      </c>
      <c r="D433" s="36" t="s">
        <v>200</v>
      </c>
      <c r="E433" s="36"/>
      <c r="F433" s="34"/>
      <c r="G433" s="52" t="s">
        <v>650</v>
      </c>
      <c r="H433" s="53" t="s">
        <v>651</v>
      </c>
      <c r="I433" s="120">
        <v>0</v>
      </c>
      <c r="J433" s="36" t="s">
        <v>295</v>
      </c>
    </row>
    <row r="434" spans="2:10" ht="87" customHeight="1">
      <c r="B434" s="34" t="s">
        <v>181</v>
      </c>
      <c r="C434" s="36" t="s">
        <v>566</v>
      </c>
      <c r="D434" s="36" t="s">
        <v>652</v>
      </c>
      <c r="E434" s="36" t="s">
        <v>653</v>
      </c>
      <c r="F434" s="36" t="s">
        <v>550</v>
      </c>
      <c r="G434" s="52" t="s">
        <v>777</v>
      </c>
      <c r="H434" s="53" t="s">
        <v>778</v>
      </c>
      <c r="I434" s="120" t="s">
        <v>779</v>
      </c>
      <c r="J434" s="36" t="s">
        <v>568</v>
      </c>
    </row>
    <row r="435" spans="2:10" ht="97.5" customHeight="1">
      <c r="B435" s="37" t="s">
        <v>182</v>
      </c>
      <c r="C435" s="36" t="s">
        <v>297</v>
      </c>
      <c r="D435" s="36" t="s">
        <v>569</v>
      </c>
      <c r="E435" s="36" t="s">
        <v>298</v>
      </c>
      <c r="F435" s="36" t="s">
        <v>299</v>
      </c>
      <c r="G435" s="36" t="s">
        <v>780</v>
      </c>
      <c r="H435" s="36" t="s">
        <v>781</v>
      </c>
      <c r="I435" s="120">
        <v>1</v>
      </c>
      <c r="J435" s="45" t="s">
        <v>609</v>
      </c>
    </row>
    <row r="436" spans="2:10" ht="163.5" customHeight="1">
      <c r="B436" s="34" t="s">
        <v>183</v>
      </c>
      <c r="C436" s="36" t="s">
        <v>297</v>
      </c>
      <c r="D436" s="36" t="s">
        <v>570</v>
      </c>
      <c r="E436" s="36" t="s">
        <v>298</v>
      </c>
      <c r="F436" s="36" t="s">
        <v>299</v>
      </c>
      <c r="G436" s="36" t="s">
        <v>782</v>
      </c>
      <c r="H436" s="36" t="s">
        <v>783</v>
      </c>
      <c r="I436" s="120" t="s">
        <v>784</v>
      </c>
      <c r="J436" s="45" t="s">
        <v>654</v>
      </c>
    </row>
    <row r="437" spans="2:10" ht="169.5" customHeight="1">
      <c r="B437" s="34" t="s">
        <v>184</v>
      </c>
      <c r="C437" s="36" t="s">
        <v>297</v>
      </c>
      <c r="D437" s="36" t="s">
        <v>571</v>
      </c>
      <c r="E437" s="36" t="s">
        <v>298</v>
      </c>
      <c r="F437" s="36" t="s">
        <v>299</v>
      </c>
      <c r="G437" s="36" t="s">
        <v>785</v>
      </c>
      <c r="H437" s="36" t="s">
        <v>786</v>
      </c>
      <c r="I437" s="120" t="s">
        <v>787</v>
      </c>
      <c r="J437" s="143" t="s">
        <v>655</v>
      </c>
    </row>
    <row r="444" spans="2:10">
      <c r="C444" s="198"/>
      <c r="D444" s="198"/>
    </row>
    <row r="445" spans="2:10">
      <c r="C445" s="198"/>
      <c r="D445" s="198"/>
    </row>
    <row r="446" spans="2:10">
      <c r="C446" s="198"/>
      <c r="D446" s="198"/>
    </row>
  </sheetData>
  <mergeCells count="293">
    <mergeCell ref="B411:F411"/>
    <mergeCell ref="B376:E376"/>
    <mergeCell ref="B381:E381"/>
    <mergeCell ref="B396:E396"/>
    <mergeCell ref="B430:J430"/>
    <mergeCell ref="G431:H431"/>
    <mergeCell ref="B335:C335"/>
    <mergeCell ref="E335:F335"/>
    <mergeCell ref="B336:C336"/>
    <mergeCell ref="E336:F336"/>
    <mergeCell ref="B339:E339"/>
    <mergeCell ref="B351:E351"/>
    <mergeCell ref="B357:E357"/>
    <mergeCell ref="B367:E367"/>
    <mergeCell ref="B373:E373"/>
    <mergeCell ref="B329:C329"/>
    <mergeCell ref="E329:F329"/>
    <mergeCell ref="B330:C330"/>
    <mergeCell ref="E330:F330"/>
    <mergeCell ref="B331:C331"/>
    <mergeCell ref="E331:F331"/>
    <mergeCell ref="B333:C333"/>
    <mergeCell ref="E333:F333"/>
    <mergeCell ref="B334:C334"/>
    <mergeCell ref="E334:F334"/>
    <mergeCell ref="B323:C323"/>
    <mergeCell ref="E323:F323"/>
    <mergeCell ref="B324:C324"/>
    <mergeCell ref="E324:F324"/>
    <mergeCell ref="B325:C325"/>
    <mergeCell ref="E325:F325"/>
    <mergeCell ref="B326:C326"/>
    <mergeCell ref="E326:F326"/>
    <mergeCell ref="B328:C328"/>
    <mergeCell ref="E328:F328"/>
    <mergeCell ref="B303:C303"/>
    <mergeCell ref="B304:C304"/>
    <mergeCell ref="B305:C305"/>
    <mergeCell ref="B306:C306"/>
    <mergeCell ref="B307:C307"/>
    <mergeCell ref="B308:C308"/>
    <mergeCell ref="B309:C309"/>
    <mergeCell ref="B313:E313"/>
    <mergeCell ref="B318:E318"/>
    <mergeCell ref="B310:C310"/>
    <mergeCell ref="E310:F310"/>
    <mergeCell ref="B311:C311"/>
    <mergeCell ref="E311:F311"/>
    <mergeCell ref="E309:F309"/>
    <mergeCell ref="E308:F308"/>
    <mergeCell ref="E307:F307"/>
    <mergeCell ref="E306:F306"/>
    <mergeCell ref="E305:F305"/>
    <mergeCell ref="E304:F304"/>
    <mergeCell ref="E303:F303"/>
    <mergeCell ref="E295:F295"/>
    <mergeCell ref="E294:F294"/>
    <mergeCell ref="E293:F293"/>
    <mergeCell ref="E292:F292"/>
    <mergeCell ref="B292:C292"/>
    <mergeCell ref="B293:C293"/>
    <mergeCell ref="B294:C294"/>
    <mergeCell ref="B295:C295"/>
    <mergeCell ref="B297:C297"/>
    <mergeCell ref="B296:C296"/>
    <mergeCell ref="E296:F296"/>
    <mergeCell ref="E302:F302"/>
    <mergeCell ref="E301:F301"/>
    <mergeCell ref="E300:F300"/>
    <mergeCell ref="E299:F299"/>
    <mergeCell ref="E298:F298"/>
    <mergeCell ref="E297:F297"/>
    <mergeCell ref="B298:C298"/>
    <mergeCell ref="B299:C299"/>
    <mergeCell ref="B300:C300"/>
    <mergeCell ref="B301:C301"/>
    <mergeCell ref="B302:C302"/>
    <mergeCell ref="B287:F287"/>
    <mergeCell ref="B288:C288"/>
    <mergeCell ref="E288:F288"/>
    <mergeCell ref="B289:C289"/>
    <mergeCell ref="E289:F289"/>
    <mergeCell ref="B290:C290"/>
    <mergeCell ref="E290:F290"/>
    <mergeCell ref="B291:C291"/>
    <mergeCell ref="E291:F291"/>
    <mergeCell ref="B266:C266"/>
    <mergeCell ref="E266:F266"/>
    <mergeCell ref="B270:C270"/>
    <mergeCell ref="B271:C271"/>
    <mergeCell ref="B272:C272"/>
    <mergeCell ref="E270:F270"/>
    <mergeCell ref="E271:F271"/>
    <mergeCell ref="E272:F272"/>
    <mergeCell ref="B274:C274"/>
    <mergeCell ref="E274:F274"/>
    <mergeCell ref="B268:C268"/>
    <mergeCell ref="E268:F268"/>
    <mergeCell ref="B269:C269"/>
    <mergeCell ref="E269:F269"/>
    <mergeCell ref="B273:C273"/>
    <mergeCell ref="E273:F273"/>
    <mergeCell ref="B261:C261"/>
    <mergeCell ref="E261:F261"/>
    <mergeCell ref="E259:F259"/>
    <mergeCell ref="B263:C263"/>
    <mergeCell ref="E263:F263"/>
    <mergeCell ref="B264:C264"/>
    <mergeCell ref="E264:F264"/>
    <mergeCell ref="B265:C265"/>
    <mergeCell ref="E265:F265"/>
    <mergeCell ref="B255:C255"/>
    <mergeCell ref="E255:F255"/>
    <mergeCell ref="B256:C256"/>
    <mergeCell ref="E256:F256"/>
    <mergeCell ref="B257:C257"/>
    <mergeCell ref="E257:F257"/>
    <mergeCell ref="B258:C258"/>
    <mergeCell ref="E258:F258"/>
    <mergeCell ref="B260:C260"/>
    <mergeCell ref="E260:F260"/>
    <mergeCell ref="B250:C250"/>
    <mergeCell ref="E250:F250"/>
    <mergeCell ref="B251:C251"/>
    <mergeCell ref="E251:F251"/>
    <mergeCell ref="B252:C252"/>
    <mergeCell ref="E252:F252"/>
    <mergeCell ref="B253:C253"/>
    <mergeCell ref="E253:F253"/>
    <mergeCell ref="B254:C254"/>
    <mergeCell ref="E254:F254"/>
    <mergeCell ref="B246:C246"/>
    <mergeCell ref="E246:F246"/>
    <mergeCell ref="B247:C247"/>
    <mergeCell ref="E247:F247"/>
    <mergeCell ref="B248:C248"/>
    <mergeCell ref="E248:F248"/>
    <mergeCell ref="B244:C244"/>
    <mergeCell ref="E244:F244"/>
    <mergeCell ref="B249:C249"/>
    <mergeCell ref="E249:F249"/>
    <mergeCell ref="B241:C241"/>
    <mergeCell ref="E241:F241"/>
    <mergeCell ref="B242:C242"/>
    <mergeCell ref="E242:F242"/>
    <mergeCell ref="B243:C243"/>
    <mergeCell ref="E243:F243"/>
    <mergeCell ref="B235:C235"/>
    <mergeCell ref="E235:F235"/>
    <mergeCell ref="B236:C236"/>
    <mergeCell ref="E236:F236"/>
    <mergeCell ref="B237:C237"/>
    <mergeCell ref="E237:F237"/>
    <mergeCell ref="B238:C238"/>
    <mergeCell ref="E238:F238"/>
    <mergeCell ref="B239:C239"/>
    <mergeCell ref="E239:F239"/>
    <mergeCell ref="E230:F230"/>
    <mergeCell ref="E231:F231"/>
    <mergeCell ref="B227:C227"/>
    <mergeCell ref="B228:C228"/>
    <mergeCell ref="B229:C229"/>
    <mergeCell ref="B230:C230"/>
    <mergeCell ref="B231:C231"/>
    <mergeCell ref="B240:C240"/>
    <mergeCell ref="E240:F240"/>
    <mergeCell ref="B232:C232"/>
    <mergeCell ref="E232:F232"/>
    <mergeCell ref="B233:C233"/>
    <mergeCell ref="E233:F233"/>
    <mergeCell ref="E228:F228"/>
    <mergeCell ref="E229:F229"/>
    <mergeCell ref="J168:J169"/>
    <mergeCell ref="I164:I166"/>
    <mergeCell ref="B195:E195"/>
    <mergeCell ref="B174:M174"/>
    <mergeCell ref="B181:E181"/>
    <mergeCell ref="B185:E185"/>
    <mergeCell ref="B189:E189"/>
    <mergeCell ref="B192:E192"/>
    <mergeCell ref="J164:J166"/>
    <mergeCell ref="B149:J149"/>
    <mergeCell ref="B162:J162"/>
    <mergeCell ref="G150:H150"/>
    <mergeCell ref="B98:E98"/>
    <mergeCell ref="B102:E102"/>
    <mergeCell ref="B106:E106"/>
    <mergeCell ref="B109:E109"/>
    <mergeCell ref="B115:E115"/>
    <mergeCell ref="B130:E130"/>
    <mergeCell ref="C151:C154"/>
    <mergeCell ref="D151:D154"/>
    <mergeCell ref="E151:E154"/>
    <mergeCell ref="F151:F154"/>
    <mergeCell ref="J151:J154"/>
    <mergeCell ref="B151:B154"/>
    <mergeCell ref="I151:I154"/>
    <mergeCell ref="B63:E63"/>
    <mergeCell ref="B75:E75"/>
    <mergeCell ref="B81:E81"/>
    <mergeCell ref="B91:E91"/>
    <mergeCell ref="B58:C58"/>
    <mergeCell ref="E58:F58"/>
    <mergeCell ref="B59:C59"/>
    <mergeCell ref="E59:F59"/>
    <mergeCell ref="B60:C60"/>
    <mergeCell ref="E60:F60"/>
    <mergeCell ref="B53:C53"/>
    <mergeCell ref="E53:F53"/>
    <mergeCell ref="E50:F50"/>
    <mergeCell ref="B54:C54"/>
    <mergeCell ref="E54:F54"/>
    <mergeCell ref="B55:C55"/>
    <mergeCell ref="E55:F55"/>
    <mergeCell ref="B57:C57"/>
    <mergeCell ref="E57:F57"/>
    <mergeCell ref="B47:C47"/>
    <mergeCell ref="E47:F47"/>
    <mergeCell ref="E48:F48"/>
    <mergeCell ref="E49:F49"/>
    <mergeCell ref="B48:C48"/>
    <mergeCell ref="B49:C49"/>
    <mergeCell ref="B50:C50"/>
    <mergeCell ref="B52:C52"/>
    <mergeCell ref="E52:F52"/>
    <mergeCell ref="C42:M42"/>
    <mergeCell ref="B23:C23"/>
    <mergeCell ref="D23:E23"/>
    <mergeCell ref="B27:B30"/>
    <mergeCell ref="C27:C30"/>
    <mergeCell ref="B35:M35"/>
    <mergeCell ref="C41:M41"/>
    <mergeCell ref="C40:M40"/>
    <mergeCell ref="C43:M43"/>
    <mergeCell ref="B216:C216"/>
    <mergeCell ref="E216:F216"/>
    <mergeCell ref="B217:C217"/>
    <mergeCell ref="E217:F217"/>
    <mergeCell ref="B219:C219"/>
    <mergeCell ref="E219:F219"/>
    <mergeCell ref="E221:F221"/>
    <mergeCell ref="B222:C222"/>
    <mergeCell ref="E222:F222"/>
    <mergeCell ref="B221:C221"/>
    <mergeCell ref="B223:C223"/>
    <mergeCell ref="E223:F223"/>
    <mergeCell ref="B224:C224"/>
    <mergeCell ref="E224:F224"/>
    <mergeCell ref="B225:C225"/>
    <mergeCell ref="E225:F225"/>
    <mergeCell ref="B226:C226"/>
    <mergeCell ref="E226:F226"/>
    <mergeCell ref="E227:F227"/>
    <mergeCell ref="C444:C446"/>
    <mergeCell ref="D444:D446"/>
    <mergeCell ref="B429:J429"/>
    <mergeCell ref="B428:J428"/>
    <mergeCell ref="E212:F212"/>
    <mergeCell ref="B199:E199"/>
    <mergeCell ref="B220:C220"/>
    <mergeCell ref="E220:F220"/>
    <mergeCell ref="B214:C214"/>
    <mergeCell ref="E214:F214"/>
    <mergeCell ref="B215:C215"/>
    <mergeCell ref="E215:F215"/>
    <mergeCell ref="B276:E276"/>
    <mergeCell ref="B282:E282"/>
    <mergeCell ref="E207:F207"/>
    <mergeCell ref="E208:F208"/>
    <mergeCell ref="E209:F209"/>
    <mergeCell ref="E210:F210"/>
    <mergeCell ref="B205:C205"/>
    <mergeCell ref="E205:F205"/>
    <mergeCell ref="B206:C206"/>
    <mergeCell ref="E206:F206"/>
    <mergeCell ref="B211:C211"/>
    <mergeCell ref="E211:F211"/>
    <mergeCell ref="B210:C210"/>
    <mergeCell ref="B212:C212"/>
    <mergeCell ref="B168:B169"/>
    <mergeCell ref="C168:C169"/>
    <mergeCell ref="D168:D169"/>
    <mergeCell ref="E168:E169"/>
    <mergeCell ref="F168:F169"/>
    <mergeCell ref="G163:H163"/>
    <mergeCell ref="B164:B166"/>
    <mergeCell ref="C164:C166"/>
    <mergeCell ref="D164:D166"/>
    <mergeCell ref="E164:E166"/>
    <mergeCell ref="F164:F166"/>
    <mergeCell ref="B207:C207"/>
    <mergeCell ref="B208:C208"/>
    <mergeCell ref="B209:C209"/>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2331-8EB5-42BA-ADB5-EACBF9FF20A2}">
  <sheetPr filterMode="1"/>
  <dimension ref="B2:Q231"/>
  <sheetViews>
    <sheetView topLeftCell="C150" zoomScale="50" zoomScaleNormal="50" zoomScaleSheetLayoutView="50" workbookViewId="0">
      <selection activeCell="G153" sqref="G153"/>
    </sheetView>
  </sheetViews>
  <sheetFormatPr defaultColWidth="10.81640625" defaultRowHeight="14.5"/>
  <cols>
    <col min="2" max="2" width="77.1796875" customWidth="1"/>
    <col min="3" max="3" width="58.1796875" customWidth="1"/>
    <col min="4" max="4" width="75.1796875" customWidth="1"/>
    <col min="5" max="5" width="78.81640625" customWidth="1"/>
    <col min="6" max="6" width="35.81640625" customWidth="1"/>
    <col min="7" max="7" width="135.81640625" customWidth="1"/>
    <col min="8" max="8" width="22.453125" customWidth="1"/>
    <col min="9" max="9" width="65.1796875" customWidth="1"/>
    <col min="10" max="10" width="68" customWidth="1"/>
    <col min="11" max="11" width="38.7265625" customWidth="1"/>
    <col min="17" max="17" width="21.1796875" customWidth="1"/>
  </cols>
  <sheetData>
    <row r="2" spans="2:2" ht="21">
      <c r="B2" s="11" t="s">
        <v>204</v>
      </c>
    </row>
    <row r="26" spans="2:7" ht="15" thickBot="1"/>
    <row r="27" spans="2:7" ht="15" thickBot="1">
      <c r="B27" s="262" t="s">
        <v>206</v>
      </c>
      <c r="C27" s="263"/>
      <c r="D27" s="264" t="s">
        <v>205</v>
      </c>
      <c r="E27" s="265"/>
    </row>
    <row r="28" spans="2:7" ht="16.5" customHeight="1" thickTop="1" thickBot="1">
      <c r="B28" s="63" t="s">
        <v>66</v>
      </c>
      <c r="C28" s="64" t="s">
        <v>244</v>
      </c>
      <c r="D28" s="65" t="s">
        <v>66</v>
      </c>
      <c r="E28" s="65" t="s">
        <v>244</v>
      </c>
      <c r="G28" s="68" t="s">
        <v>250</v>
      </c>
    </row>
    <row r="29" spans="2:7" ht="41.25" customHeight="1" thickBot="1">
      <c r="B29" s="29" t="s">
        <v>237</v>
      </c>
      <c r="C29" s="30">
        <v>320</v>
      </c>
      <c r="D29" s="31" t="s">
        <v>207</v>
      </c>
      <c r="E29" s="31">
        <v>1322</v>
      </c>
      <c r="G29">
        <f>E29+E30+E31+E32+E33+E34+E35</f>
        <v>2203.3000000000002</v>
      </c>
    </row>
    <row r="30" spans="2:7" ht="51" customHeight="1" thickBot="1">
      <c r="B30" s="61" t="s">
        <v>301</v>
      </c>
      <c r="C30" s="62">
        <v>1920</v>
      </c>
      <c r="D30" s="28" t="s">
        <v>208</v>
      </c>
      <c r="E30" s="28">
        <v>330.5</v>
      </c>
    </row>
    <row r="31" spans="2:7" ht="39" customHeight="1" thickBot="1">
      <c r="B31" s="304" t="s">
        <v>211</v>
      </c>
      <c r="C31" s="304">
        <v>160</v>
      </c>
      <c r="D31" s="31" t="s">
        <v>601</v>
      </c>
      <c r="E31" s="31">
        <v>6</v>
      </c>
    </row>
    <row r="32" spans="2:7" ht="20.25" customHeight="1" thickBot="1">
      <c r="B32" s="305"/>
      <c r="C32" s="305"/>
      <c r="D32" s="28" t="s">
        <v>602</v>
      </c>
      <c r="E32" s="28">
        <v>280</v>
      </c>
    </row>
    <row r="33" spans="2:13" ht="21" customHeight="1" thickBot="1">
      <c r="B33" s="305"/>
      <c r="C33" s="305"/>
      <c r="D33" s="31" t="s">
        <v>603</v>
      </c>
      <c r="E33" s="31">
        <v>95</v>
      </c>
    </row>
    <row r="34" spans="2:13" ht="21" customHeight="1" thickBot="1">
      <c r="B34" s="305"/>
      <c r="C34" s="305"/>
      <c r="D34" s="28" t="s">
        <v>604</v>
      </c>
      <c r="E34" s="28">
        <v>160</v>
      </c>
    </row>
    <row r="35" spans="2:13" ht="21" customHeight="1" thickBot="1">
      <c r="B35" s="306"/>
      <c r="C35" s="306"/>
      <c r="D35" s="31" t="s">
        <v>605</v>
      </c>
      <c r="E35" s="31">
        <v>9.8000000000000007</v>
      </c>
    </row>
    <row r="37" spans="2:13" ht="15" thickBot="1"/>
    <row r="38" spans="2:13">
      <c r="B38" s="272" t="s">
        <v>213</v>
      </c>
      <c r="C38" s="273"/>
      <c r="D38" s="273"/>
      <c r="E38" s="273"/>
      <c r="F38" s="273"/>
      <c r="G38" s="273"/>
      <c r="H38" s="273"/>
      <c r="I38" s="273"/>
      <c r="J38" s="273"/>
      <c r="K38" s="273"/>
      <c r="L38" s="273"/>
      <c r="M38" s="274"/>
    </row>
    <row r="39" spans="2:13" ht="15" thickBot="1"/>
    <row r="40" spans="2:13" ht="17" thickBot="1">
      <c r="B40" s="33" t="s">
        <v>77</v>
      </c>
      <c r="C40" s="32" t="s">
        <v>78</v>
      </c>
    </row>
    <row r="41" spans="2:13" ht="15" thickBot="1"/>
    <row r="42" spans="2:13" ht="15" thickBot="1">
      <c r="B42" s="307" t="s">
        <v>239</v>
      </c>
      <c r="C42" s="308"/>
      <c r="D42" s="308"/>
      <c r="E42" s="309"/>
    </row>
    <row r="44" spans="2:13">
      <c r="B44" s="252" t="s">
        <v>101</v>
      </c>
      <c r="C44" s="252"/>
      <c r="D44" s="252"/>
      <c r="E44" s="252"/>
    </row>
    <row r="45" spans="2:13">
      <c r="B45" s="42" t="s">
        <v>66</v>
      </c>
      <c r="C45" s="42" t="s">
        <v>244</v>
      </c>
      <c r="D45" s="42" t="s">
        <v>87</v>
      </c>
      <c r="E45" s="42" t="s">
        <v>102</v>
      </c>
      <c r="G45" s="46"/>
    </row>
    <row r="46" spans="2:13">
      <c r="B46" s="59" t="s">
        <v>240</v>
      </c>
      <c r="C46" s="55">
        <f>0.8*E29</f>
        <v>1057.6000000000001</v>
      </c>
      <c r="D46" s="55" t="s">
        <v>243</v>
      </c>
      <c r="E46" s="310" t="s">
        <v>246</v>
      </c>
    </row>
    <row r="47" spans="2:13">
      <c r="B47" s="59" t="s">
        <v>241</v>
      </c>
      <c r="C47" s="55">
        <f>0.8*E30</f>
        <v>264.40000000000003</v>
      </c>
      <c r="D47" s="55" t="s">
        <v>243</v>
      </c>
      <c r="E47" s="311"/>
      <c r="G47" s="66"/>
    </row>
    <row r="48" spans="2:13" ht="29">
      <c r="B48" s="59" t="s">
        <v>242</v>
      </c>
      <c r="C48" s="55">
        <f>E31</f>
        <v>6</v>
      </c>
      <c r="D48" s="55" t="s">
        <v>243</v>
      </c>
      <c r="E48" s="59" t="s">
        <v>247</v>
      </c>
    </row>
    <row r="49" spans="2:8">
      <c r="B49" s="258" t="s">
        <v>123</v>
      </c>
      <c r="C49" s="258"/>
      <c r="D49" s="258"/>
      <c r="E49" s="258"/>
    </row>
    <row r="50" spans="2:8">
      <c r="B50" s="59" t="s">
        <v>245</v>
      </c>
      <c r="C50" s="55">
        <f>C46+C47</f>
        <v>1322.0000000000002</v>
      </c>
      <c r="D50" s="55" t="s">
        <v>243</v>
      </c>
      <c r="E50" s="58" t="s">
        <v>246</v>
      </c>
    </row>
    <row r="51" spans="2:8" ht="29">
      <c r="B51" s="59" t="s">
        <v>242</v>
      </c>
      <c r="C51" s="59">
        <f>C48</f>
        <v>6</v>
      </c>
      <c r="D51" s="55" t="s">
        <v>243</v>
      </c>
      <c r="E51" s="59" t="s">
        <v>247</v>
      </c>
    </row>
    <row r="53" spans="2:8" ht="15" thickBot="1"/>
    <row r="54" spans="2:8" ht="15" thickBot="1">
      <c r="B54" s="307" t="s">
        <v>248</v>
      </c>
      <c r="C54" s="308"/>
      <c r="D54" s="308"/>
      <c r="E54" s="309"/>
    </row>
    <row r="56" spans="2:8">
      <c r="B56" s="118" t="s">
        <v>249</v>
      </c>
    </row>
    <row r="57" spans="2:8">
      <c r="B57" s="258" t="s">
        <v>101</v>
      </c>
      <c r="C57" s="258"/>
      <c r="D57" s="258"/>
      <c r="E57" s="258"/>
    </row>
    <row r="58" spans="2:8">
      <c r="B58" s="73" t="s">
        <v>66</v>
      </c>
      <c r="C58" s="73" t="s">
        <v>253</v>
      </c>
      <c r="D58" s="74" t="s">
        <v>87</v>
      </c>
      <c r="E58" s="42" t="s">
        <v>102</v>
      </c>
      <c r="F58" s="72"/>
    </row>
    <row r="59" spans="2:8">
      <c r="B59" s="59" t="s">
        <v>205</v>
      </c>
      <c r="C59" s="55">
        <v>2203.3000000000002</v>
      </c>
      <c r="D59" s="69" t="s">
        <v>243</v>
      </c>
      <c r="E59" s="75"/>
      <c r="F59" s="72"/>
    </row>
    <row r="60" spans="2:8" ht="54.75" customHeight="1">
      <c r="B60" s="59" t="s">
        <v>252</v>
      </c>
      <c r="C60" s="55">
        <f>(0.03382+0.0047+0.035+0.0000385+0.0057)*C59</f>
        <v>174.63025304999999</v>
      </c>
      <c r="D60" s="69" t="s">
        <v>534</v>
      </c>
      <c r="E60" s="75" t="s">
        <v>254</v>
      </c>
    </row>
    <row r="61" spans="2:8" ht="29">
      <c r="B61" s="67" t="s">
        <v>256</v>
      </c>
      <c r="C61" s="70">
        <f>(0.0054+0.0072)*C59</f>
        <v>27.761580000000002</v>
      </c>
      <c r="D61" s="71" t="s">
        <v>535</v>
      </c>
      <c r="E61" s="34" t="s">
        <v>255</v>
      </c>
      <c r="F61" s="72"/>
    </row>
    <row r="62" spans="2:8">
      <c r="B62" s="258" t="s">
        <v>123</v>
      </c>
      <c r="C62" s="258"/>
      <c r="D62" s="258"/>
      <c r="E62" s="258"/>
      <c r="G62" t="s">
        <v>262</v>
      </c>
      <c r="H62" s="48">
        <f>(8.12/1160.02)*C59</f>
        <v>15.422834089067431</v>
      </c>
    </row>
    <row r="63" spans="2:8">
      <c r="B63" s="59" t="s">
        <v>263</v>
      </c>
      <c r="C63" s="55">
        <f>C59*0.98</f>
        <v>2159.2339999999999</v>
      </c>
      <c r="D63" s="59" t="s">
        <v>264</v>
      </c>
      <c r="E63" s="58"/>
      <c r="G63" s="48" t="s">
        <v>260</v>
      </c>
      <c r="H63" s="48">
        <f>((5.2+530.64+568.94)/1160.02)*C59</f>
        <v>2098.3791434630443</v>
      </c>
    </row>
    <row r="64" spans="2:8" ht="29">
      <c r="B64" s="59" t="s">
        <v>251</v>
      </c>
      <c r="C64" s="59">
        <f>C59*0.025</f>
        <v>55.08250000000001</v>
      </c>
      <c r="D64" s="59" t="s">
        <v>538</v>
      </c>
      <c r="E64" s="59"/>
      <c r="G64" s="48" t="s">
        <v>261</v>
      </c>
      <c r="H64" s="48">
        <f>(11.31/1160.2)*C59</f>
        <v>21.478471815204276</v>
      </c>
    </row>
    <row r="66" spans="2:5" ht="33" customHeight="1">
      <c r="B66" s="312" t="s">
        <v>533</v>
      </c>
      <c r="C66" s="312"/>
      <c r="D66" s="312"/>
      <c r="E66" s="312"/>
    </row>
    <row r="67" spans="2:5">
      <c r="B67" s="258" t="s">
        <v>101</v>
      </c>
      <c r="C67" s="258"/>
      <c r="D67" s="258"/>
      <c r="E67" s="258"/>
    </row>
    <row r="68" spans="2:5">
      <c r="B68" s="42" t="s">
        <v>66</v>
      </c>
      <c r="C68" s="42" t="s">
        <v>253</v>
      </c>
      <c r="D68" s="42" t="s">
        <v>87</v>
      </c>
      <c r="E68" s="42" t="s">
        <v>102</v>
      </c>
    </row>
    <row r="69" spans="2:5">
      <c r="B69" s="59" t="s">
        <v>265</v>
      </c>
      <c r="C69" s="55">
        <v>21.48</v>
      </c>
      <c r="D69" s="59"/>
      <c r="E69" s="75"/>
    </row>
    <row r="70" spans="2:5">
      <c r="B70" s="59" t="s">
        <v>257</v>
      </c>
      <c r="C70" s="55">
        <v>0.27</v>
      </c>
      <c r="D70" s="59" t="s">
        <v>243</v>
      </c>
      <c r="E70" s="75" t="s">
        <v>536</v>
      </c>
    </row>
    <row r="71" spans="2:5">
      <c r="B71" s="59" t="s">
        <v>258</v>
      </c>
      <c r="C71" s="55">
        <v>3.29</v>
      </c>
      <c r="D71" s="59" t="s">
        <v>243</v>
      </c>
      <c r="E71" s="1" t="s">
        <v>259</v>
      </c>
    </row>
    <row r="72" spans="2:5">
      <c r="B72" s="59" t="s">
        <v>266</v>
      </c>
      <c r="C72" s="55">
        <f>0.0924*C69</f>
        <v>1.9847519999999998</v>
      </c>
      <c r="D72" s="59" t="s">
        <v>268</v>
      </c>
      <c r="E72" s="1" t="s">
        <v>267</v>
      </c>
    </row>
    <row r="73" spans="2:5">
      <c r="B73" s="258" t="s">
        <v>123</v>
      </c>
      <c r="C73" s="258"/>
      <c r="D73" s="258"/>
      <c r="E73" s="258"/>
    </row>
    <row r="74" spans="2:5">
      <c r="B74" s="59" t="s">
        <v>242</v>
      </c>
      <c r="C74" s="55">
        <f>(833/2000)*C69</f>
        <v>8.9464199999999998</v>
      </c>
      <c r="D74" s="55" t="s">
        <v>269</v>
      </c>
      <c r="E74" s="58"/>
    </row>
    <row r="75" spans="2:5">
      <c r="B75" s="59" t="s">
        <v>271</v>
      </c>
      <c r="C75" s="55">
        <f>(2500/2000)*C69</f>
        <v>26.85</v>
      </c>
      <c r="D75" s="55" t="s">
        <v>243</v>
      </c>
      <c r="E75" t="s">
        <v>273</v>
      </c>
    </row>
    <row r="76" spans="2:5">
      <c r="B76" s="59" t="s">
        <v>272</v>
      </c>
      <c r="C76" s="55">
        <f>(20/2000)*C69</f>
        <v>0.21480000000000002</v>
      </c>
      <c r="D76" s="55" t="s">
        <v>243</v>
      </c>
      <c r="E76" t="s">
        <v>537</v>
      </c>
    </row>
    <row r="77" spans="2:5">
      <c r="B77" s="59" t="s">
        <v>251</v>
      </c>
      <c r="C77" s="59">
        <f>(167/2000)*C69</f>
        <v>1.7935800000000002</v>
      </c>
      <c r="D77" s="55" t="s">
        <v>270</v>
      </c>
      <c r="E77" s="76"/>
    </row>
    <row r="79" spans="2:5">
      <c r="B79" s="313" t="s">
        <v>274</v>
      </c>
      <c r="C79" s="312"/>
      <c r="D79" s="312"/>
      <c r="E79" s="312"/>
    </row>
    <row r="80" spans="2:5">
      <c r="B80" s="258" t="s">
        <v>101</v>
      </c>
      <c r="C80" s="258"/>
      <c r="D80" s="258"/>
      <c r="E80" s="258"/>
    </row>
    <row r="81" spans="2:5">
      <c r="B81" s="42" t="s">
        <v>66</v>
      </c>
      <c r="C81" s="42" t="s">
        <v>253</v>
      </c>
      <c r="D81" s="42" t="s">
        <v>87</v>
      </c>
      <c r="E81" s="42" t="s">
        <v>102</v>
      </c>
    </row>
    <row r="82" spans="2:5">
      <c r="B82" s="59" t="s">
        <v>265</v>
      </c>
      <c r="C82" s="55">
        <f>C74</f>
        <v>8.9464199999999998</v>
      </c>
      <c r="D82" s="59"/>
      <c r="E82" s="75"/>
    </row>
    <row r="83" spans="2:5">
      <c r="B83" s="59" t="s">
        <v>275</v>
      </c>
      <c r="C83" s="55">
        <v>2.42</v>
      </c>
      <c r="D83" s="59" t="s">
        <v>243</v>
      </c>
      <c r="E83" s="75" t="s">
        <v>536</v>
      </c>
    </row>
    <row r="84" spans="2:5">
      <c r="B84" s="258" t="s">
        <v>123</v>
      </c>
      <c r="C84" s="258"/>
      <c r="D84" s="258"/>
      <c r="E84" s="258"/>
    </row>
    <row r="85" spans="2:5">
      <c r="B85" s="59" t="s">
        <v>276</v>
      </c>
      <c r="C85" s="55">
        <f>(950/1000)*C82</f>
        <v>8.4990989999999993</v>
      </c>
      <c r="D85" s="55" t="s">
        <v>269</v>
      </c>
      <c r="E85" s="58"/>
    </row>
    <row r="86" spans="2:5">
      <c r="B86" s="59" t="s">
        <v>251</v>
      </c>
      <c r="C86" s="59">
        <f>(50/1000)*C82</f>
        <v>0.44732100000000002</v>
      </c>
      <c r="D86" s="55" t="s">
        <v>270</v>
      </c>
      <c r="E86" s="76"/>
    </row>
    <row r="87" spans="2:5" ht="15" thickBot="1"/>
    <row r="88" spans="2:5" ht="15" thickBot="1">
      <c r="B88" s="307" t="s">
        <v>277</v>
      </c>
      <c r="C88" s="308"/>
      <c r="D88" s="308"/>
      <c r="E88" s="309"/>
    </row>
    <row r="90" spans="2:5">
      <c r="B90" s="258" t="s">
        <v>101</v>
      </c>
      <c r="C90" s="258"/>
      <c r="D90" s="258"/>
      <c r="E90" s="258"/>
    </row>
    <row r="91" spans="2:5">
      <c r="B91" s="42" t="s">
        <v>66</v>
      </c>
      <c r="C91" s="42" t="s">
        <v>253</v>
      </c>
      <c r="D91" s="42" t="s">
        <v>87</v>
      </c>
      <c r="E91" s="42" t="s">
        <v>102</v>
      </c>
    </row>
    <row r="92" spans="2:5">
      <c r="B92" s="59" t="s">
        <v>278</v>
      </c>
      <c r="C92" s="55">
        <f>C64</f>
        <v>55.08250000000001</v>
      </c>
      <c r="D92" s="59" t="s">
        <v>243</v>
      </c>
      <c r="E92" s="76" t="s">
        <v>539</v>
      </c>
    </row>
    <row r="93" spans="2:5">
      <c r="B93" s="258" t="s">
        <v>123</v>
      </c>
      <c r="C93" s="258"/>
      <c r="D93" s="258"/>
      <c r="E93" s="258"/>
    </row>
    <row r="94" spans="2:5">
      <c r="B94" s="59" t="s">
        <v>279</v>
      </c>
      <c r="C94" s="55">
        <f>C92</f>
        <v>55.08250000000001</v>
      </c>
      <c r="D94" s="55" t="s">
        <v>269</v>
      </c>
      <c r="E94" s="58"/>
    </row>
    <row r="96" spans="2:5">
      <c r="B96" s="258" t="s">
        <v>101</v>
      </c>
      <c r="C96" s="258"/>
      <c r="D96" s="258"/>
      <c r="E96" s="258"/>
    </row>
    <row r="97" spans="2:17">
      <c r="B97" s="42" t="s">
        <v>66</v>
      </c>
      <c r="C97" s="42" t="s">
        <v>253</v>
      </c>
      <c r="D97" s="42" t="s">
        <v>87</v>
      </c>
      <c r="E97" s="42" t="s">
        <v>102</v>
      </c>
    </row>
    <row r="98" spans="2:17">
      <c r="B98" s="59" t="s">
        <v>280</v>
      </c>
      <c r="C98" s="55">
        <f>C77+C86</f>
        <v>2.240901</v>
      </c>
      <c r="D98" s="59" t="s">
        <v>243</v>
      </c>
      <c r="E98" s="76" t="s">
        <v>539</v>
      </c>
    </row>
    <row r="99" spans="2:17">
      <c r="B99" s="258"/>
      <c r="C99" s="258"/>
      <c r="D99" s="258"/>
      <c r="E99" s="258"/>
    </row>
    <row r="100" spans="2:17">
      <c r="B100" s="59" t="s">
        <v>279</v>
      </c>
      <c r="C100" s="55">
        <f>C98</f>
        <v>2.240901</v>
      </c>
      <c r="D100" s="55" t="s">
        <v>269</v>
      </c>
      <c r="E100" s="58"/>
    </row>
    <row r="101" spans="2:17" ht="15" thickBot="1"/>
    <row r="102" spans="2:17" ht="34.5" customHeight="1" thickBot="1">
      <c r="B102" s="307" t="s">
        <v>282</v>
      </c>
      <c r="C102" s="308"/>
      <c r="D102" s="308"/>
      <c r="E102" s="309"/>
      <c r="G102" s="314" t="s">
        <v>281</v>
      </c>
      <c r="H102" s="315"/>
      <c r="I102" s="315"/>
      <c r="J102" s="315"/>
      <c r="K102" s="315"/>
      <c r="L102" s="315"/>
      <c r="M102" s="315"/>
      <c r="N102" s="315"/>
      <c r="O102" s="315"/>
      <c r="P102" s="315"/>
      <c r="Q102" s="315"/>
    </row>
    <row r="104" spans="2:17">
      <c r="B104" s="258" t="s">
        <v>101</v>
      </c>
      <c r="C104" s="258"/>
      <c r="D104" s="258"/>
      <c r="E104" s="258"/>
    </row>
    <row r="105" spans="2:17">
      <c r="B105" s="42" t="s">
        <v>66</v>
      </c>
      <c r="C105" s="42" t="s">
        <v>244</v>
      </c>
      <c r="D105" s="42" t="s">
        <v>87</v>
      </c>
      <c r="E105" s="42" t="s">
        <v>102</v>
      </c>
    </row>
    <row r="106" spans="2:17">
      <c r="B106" s="59" t="s">
        <v>283</v>
      </c>
      <c r="C106" s="55">
        <f>E29</f>
        <v>1322</v>
      </c>
      <c r="D106" s="59" t="s">
        <v>243</v>
      </c>
      <c r="E106" s="75" t="s">
        <v>540</v>
      </c>
    </row>
    <row r="107" spans="2:17">
      <c r="B107" s="59" t="s">
        <v>284</v>
      </c>
      <c r="C107" s="55">
        <f>E30</f>
        <v>330.5</v>
      </c>
      <c r="D107" s="59" t="s">
        <v>243</v>
      </c>
      <c r="E107" s="59" t="s">
        <v>541</v>
      </c>
    </row>
    <row r="108" spans="2:17">
      <c r="B108" s="59" t="s">
        <v>285</v>
      </c>
      <c r="C108" s="55">
        <f>E31</f>
        <v>6</v>
      </c>
      <c r="D108" s="59" t="s">
        <v>243</v>
      </c>
      <c r="E108" s="59" t="s">
        <v>542</v>
      </c>
    </row>
    <row r="109" spans="2:17">
      <c r="B109" s="59" t="s">
        <v>209</v>
      </c>
      <c r="C109" s="55">
        <f>E32</f>
        <v>280</v>
      </c>
      <c r="D109" s="59" t="s">
        <v>243</v>
      </c>
      <c r="E109" s="108" t="s">
        <v>543</v>
      </c>
    </row>
    <row r="110" spans="2:17">
      <c r="B110" s="59" t="s">
        <v>210</v>
      </c>
      <c r="C110" s="55">
        <v>95</v>
      </c>
      <c r="D110" s="59" t="s">
        <v>243</v>
      </c>
      <c r="E110" s="108" t="s">
        <v>544</v>
      </c>
    </row>
    <row r="111" spans="2:17">
      <c r="B111" s="59" t="s">
        <v>286</v>
      </c>
      <c r="C111" s="55">
        <v>160</v>
      </c>
      <c r="D111" s="59" t="s">
        <v>243</v>
      </c>
      <c r="E111" s="108" t="s">
        <v>545</v>
      </c>
    </row>
    <row r="112" spans="2:17" ht="32.25" customHeight="1">
      <c r="B112" s="59" t="s">
        <v>212</v>
      </c>
      <c r="C112" s="55">
        <v>9.8000000000000007</v>
      </c>
      <c r="D112" s="59" t="s">
        <v>243</v>
      </c>
      <c r="E112" s="59" t="s">
        <v>546</v>
      </c>
    </row>
    <row r="113" spans="2:6">
      <c r="B113" s="258" t="s">
        <v>123</v>
      </c>
      <c r="C113" s="258"/>
      <c r="D113" s="258"/>
      <c r="E113" s="258"/>
    </row>
    <row r="114" spans="2:6">
      <c r="B114" s="59" t="s">
        <v>205</v>
      </c>
      <c r="C114" s="55">
        <f>C106+C107+C108+C109+C110+C111+C112</f>
        <v>2203.3000000000002</v>
      </c>
      <c r="D114" s="55" t="s">
        <v>243</v>
      </c>
      <c r="E114" s="58"/>
    </row>
    <row r="116" spans="2:6">
      <c r="B116" s="38" t="s">
        <v>176</v>
      </c>
    </row>
    <row r="118" spans="2:6">
      <c r="B118" s="258" t="s">
        <v>213</v>
      </c>
      <c r="C118" s="258"/>
      <c r="D118" s="258"/>
      <c r="E118" s="258"/>
      <c r="F118" s="107"/>
    </row>
    <row r="119" spans="2:6">
      <c r="B119" s="1" t="s">
        <v>162</v>
      </c>
      <c r="C119" s="58" t="s">
        <v>81</v>
      </c>
      <c r="D119" s="58" t="s">
        <v>288</v>
      </c>
      <c r="E119" s="58" t="s">
        <v>177</v>
      </c>
      <c r="F119" s="58" t="s">
        <v>175</v>
      </c>
    </row>
    <row r="120" spans="2:6" ht="14.25" customHeight="1">
      <c r="B120" s="36" t="s">
        <v>163</v>
      </c>
      <c r="C120" s="56">
        <v>7.2999999999999999E-5</v>
      </c>
      <c r="D120" s="57">
        <f>0.00000131+0.000000056+0.000000121</f>
        <v>1.4869999999999999E-6</v>
      </c>
      <c r="E120" s="44">
        <v>5.71E-4</v>
      </c>
      <c r="F120" s="44">
        <v>3.0899999999999997E-7</v>
      </c>
    </row>
    <row r="121" spans="2:6">
      <c r="B121" s="36" t="s">
        <v>164</v>
      </c>
      <c r="C121" s="56">
        <v>8470</v>
      </c>
      <c r="D121" s="57">
        <f>26.2+6.14+2.59</f>
        <v>34.929999999999993</v>
      </c>
      <c r="E121" s="44">
        <v>3970</v>
      </c>
      <c r="F121" s="44">
        <v>10.9</v>
      </c>
    </row>
    <row r="122" spans="2:6">
      <c r="B122" s="36" t="s">
        <v>165</v>
      </c>
      <c r="C122" s="56">
        <v>0.28899999999999998</v>
      </c>
      <c r="D122" s="57">
        <f>0.00342+0.000449+0.00038</f>
        <v>4.2490000000000002E-3</v>
      </c>
      <c r="E122" s="44">
        <v>0.441</v>
      </c>
      <c r="F122" s="44">
        <v>4.8700000000000002E-3</v>
      </c>
    </row>
    <row r="123" spans="2:6" ht="21" customHeight="1">
      <c r="B123" s="36" t="s">
        <v>166</v>
      </c>
      <c r="C123" s="56">
        <v>4.9399999999999999E-2</v>
      </c>
      <c r="D123" s="57">
        <f>0.000642+0.00119+0.000345</f>
        <v>2.1770000000000001E-3</v>
      </c>
      <c r="E123" s="44">
        <v>8.6300000000000002E-2</v>
      </c>
      <c r="F123" s="44">
        <v>5.4600000000000004E-4</v>
      </c>
    </row>
    <row r="124" spans="2:6">
      <c r="B124" s="36" t="s">
        <v>167</v>
      </c>
      <c r="C124" s="56">
        <v>3.29</v>
      </c>
      <c r="D124" s="57">
        <f>0.0041+0.000389+0.000433</f>
        <v>4.9220000000000002E-3</v>
      </c>
      <c r="E124" s="44">
        <v>0.56799999999999995</v>
      </c>
      <c r="F124" s="44">
        <v>3.3700000000000002E-3</v>
      </c>
    </row>
    <row r="125" spans="2:6" ht="20.25" customHeight="1">
      <c r="B125" s="36" t="s">
        <v>168</v>
      </c>
      <c r="C125" s="56">
        <v>84.6</v>
      </c>
      <c r="D125" s="57">
        <f>2.66+20.6+0.562</f>
        <v>23.822000000000003</v>
      </c>
      <c r="E125" s="44">
        <v>414</v>
      </c>
      <c r="F125" s="44">
        <v>0.81499999999999995</v>
      </c>
    </row>
    <row r="126" spans="2:6" ht="29">
      <c r="B126" s="36" t="s">
        <v>169</v>
      </c>
      <c r="C126" s="56">
        <v>117</v>
      </c>
      <c r="D126" s="57"/>
      <c r="E126" s="44">
        <v>413</v>
      </c>
      <c r="F126" s="44">
        <v>0.84299999999999997</v>
      </c>
    </row>
    <row r="127" spans="2:6">
      <c r="B127" s="36" t="s">
        <v>170</v>
      </c>
      <c r="C127" s="56">
        <v>10.6</v>
      </c>
      <c r="D127" s="57">
        <f>7.72+0.00813+0.00863</f>
        <v>7.7367600000000003</v>
      </c>
      <c r="E127" s="44">
        <v>12.4</v>
      </c>
      <c r="F127" s="44">
        <v>4.19E-2</v>
      </c>
    </row>
    <row r="128" spans="2:6" ht="19.5" customHeight="1">
      <c r="B128" s="36" t="s">
        <v>171</v>
      </c>
      <c r="C128" s="56">
        <v>10200</v>
      </c>
      <c r="D128" s="57">
        <f>291+11.1+27.8</f>
        <v>329.90000000000003</v>
      </c>
      <c r="E128" s="44">
        <v>16400</v>
      </c>
      <c r="F128" s="44">
        <v>176</v>
      </c>
    </row>
    <row r="129" spans="2:11" ht="23.25" customHeight="1">
      <c r="B129" s="36" t="s">
        <v>172</v>
      </c>
      <c r="C129" s="56">
        <v>2.8999999999999998E-10</v>
      </c>
      <c r="D129" s="57">
        <f>0.000000000068+0.000000000000818+0.00000000000617</f>
        <v>7.4988E-11</v>
      </c>
      <c r="E129" s="44">
        <v>3.2599999999999999E-9</v>
      </c>
      <c r="F129" s="44">
        <v>2.3900000000000001E-12</v>
      </c>
    </row>
    <row r="130" spans="2:11" ht="20.25" customHeight="1">
      <c r="B130" s="36" t="s">
        <v>173</v>
      </c>
      <c r="C130" s="56">
        <v>4.4400000000000002E-2</v>
      </c>
      <c r="D130" s="57">
        <f>0.000237+0.000316+0.000095</f>
        <v>6.4800000000000003E-4</v>
      </c>
      <c r="E130" s="44">
        <v>4.2599999999999999E-2</v>
      </c>
      <c r="F130" s="44">
        <v>3.8000000000000002E-4</v>
      </c>
    </row>
    <row r="131" spans="2:11" ht="19.5" customHeight="1">
      <c r="B131" s="36" t="s">
        <v>174</v>
      </c>
      <c r="C131" s="56">
        <v>1.24</v>
      </c>
      <c r="D131" s="57">
        <f>0.003+0.00196+0.000648</f>
        <v>5.6080000000000001E-3</v>
      </c>
      <c r="E131" s="44">
        <v>0.41299999999999998</v>
      </c>
      <c r="F131" s="44">
        <v>2.2599999999999999E-2</v>
      </c>
    </row>
    <row r="132" spans="2:11" ht="15" thickBot="1"/>
    <row r="133" spans="2:11" ht="15" thickBot="1">
      <c r="B133" s="33" t="s">
        <v>178</v>
      </c>
      <c r="C133" s="32" t="s">
        <v>187</v>
      </c>
    </row>
    <row r="135" spans="2:11">
      <c r="B135" s="252" t="s">
        <v>213</v>
      </c>
      <c r="C135" s="252"/>
      <c r="D135" s="252"/>
      <c r="E135" s="252"/>
      <c r="F135" s="252"/>
      <c r="G135" s="252"/>
      <c r="H135" s="252"/>
      <c r="I135" s="252"/>
      <c r="J135" s="252"/>
    </row>
    <row r="136" spans="2:11">
      <c r="B136" s="42" t="s">
        <v>179</v>
      </c>
      <c r="C136" s="42" t="s">
        <v>33</v>
      </c>
      <c r="D136" s="42" t="s">
        <v>34</v>
      </c>
      <c r="E136" s="42" t="s">
        <v>35</v>
      </c>
      <c r="F136" s="42" t="s">
        <v>50</v>
      </c>
      <c r="G136" s="248" t="s">
        <v>196</v>
      </c>
      <c r="H136" s="249"/>
      <c r="I136" s="119" t="s">
        <v>189</v>
      </c>
      <c r="J136" s="42" t="s">
        <v>190</v>
      </c>
      <c r="K136" s="1"/>
    </row>
    <row r="137" spans="2:11" ht="117" customHeight="1">
      <c r="B137" s="298" t="s">
        <v>2</v>
      </c>
      <c r="C137" s="184" t="s">
        <v>194</v>
      </c>
      <c r="D137" s="184" t="s">
        <v>289</v>
      </c>
      <c r="E137" s="184" t="s">
        <v>562</v>
      </c>
      <c r="F137" s="298"/>
      <c r="G137" s="140" t="s">
        <v>684</v>
      </c>
      <c r="H137" s="54" t="s">
        <v>291</v>
      </c>
      <c r="I137" s="284" t="s">
        <v>293</v>
      </c>
      <c r="J137" s="184" t="s">
        <v>574</v>
      </c>
      <c r="K137" s="142"/>
    </row>
    <row r="138" spans="2:11" ht="43.5">
      <c r="B138" s="299"/>
      <c r="C138" s="185"/>
      <c r="D138" s="185"/>
      <c r="E138" s="185"/>
      <c r="F138" s="299"/>
      <c r="G138" s="51" t="s">
        <v>623</v>
      </c>
      <c r="H138" s="54" t="s">
        <v>292</v>
      </c>
      <c r="I138" s="286"/>
      <c r="J138" s="185"/>
      <c r="K138" s="1"/>
    </row>
    <row r="139" spans="2:11" ht="101.5">
      <c r="B139" s="34" t="s">
        <v>180</v>
      </c>
      <c r="C139" s="59" t="s">
        <v>624</v>
      </c>
      <c r="D139" s="36" t="s">
        <v>200</v>
      </c>
      <c r="E139" s="36"/>
      <c r="F139" s="34"/>
      <c r="G139" s="52" t="s">
        <v>625</v>
      </c>
      <c r="H139" s="36" t="s">
        <v>291</v>
      </c>
      <c r="I139" s="120">
        <v>0.6</v>
      </c>
      <c r="J139" s="36" t="s">
        <v>575</v>
      </c>
      <c r="K139" s="1"/>
    </row>
    <row r="140" spans="2:11" ht="138.75" customHeight="1">
      <c r="B140" s="34" t="s">
        <v>181</v>
      </c>
      <c r="C140" s="36" t="s">
        <v>566</v>
      </c>
      <c r="D140" s="45" t="s">
        <v>202</v>
      </c>
      <c r="E140" s="45" t="s">
        <v>296</v>
      </c>
      <c r="F140" s="37" t="s">
        <v>550</v>
      </c>
      <c r="G140" s="24" t="s">
        <v>826</v>
      </c>
      <c r="H140" s="36" t="s">
        <v>827</v>
      </c>
      <c r="I140" s="120" t="s">
        <v>747</v>
      </c>
      <c r="J140" s="36" t="s">
        <v>626</v>
      </c>
      <c r="K140" s="77"/>
    </row>
    <row r="141" spans="2:11" ht="124.5" customHeight="1">
      <c r="B141" s="37" t="s">
        <v>7</v>
      </c>
      <c r="C141" s="36" t="s">
        <v>297</v>
      </c>
      <c r="D141" s="36" t="s">
        <v>628</v>
      </c>
      <c r="E141" s="36" t="s">
        <v>627</v>
      </c>
      <c r="F141" s="36" t="s">
        <v>620</v>
      </c>
      <c r="G141" s="52" t="s">
        <v>629</v>
      </c>
      <c r="H141" s="79" t="s">
        <v>630</v>
      </c>
      <c r="I141" s="120">
        <v>1</v>
      </c>
      <c r="J141" s="45" t="s">
        <v>576</v>
      </c>
      <c r="K141" s="1"/>
    </row>
    <row r="142" spans="2:11" ht="149.25" customHeight="1">
      <c r="B142" s="298" t="s">
        <v>183</v>
      </c>
      <c r="C142" s="184" t="s">
        <v>297</v>
      </c>
      <c r="D142" s="184" t="s">
        <v>616</v>
      </c>
      <c r="E142" s="184" t="s">
        <v>617</v>
      </c>
      <c r="F142" s="184" t="s">
        <v>631</v>
      </c>
      <c r="G142" s="141" t="s">
        <v>748</v>
      </c>
      <c r="H142" s="80" t="s">
        <v>749</v>
      </c>
      <c r="I142" s="120" t="s">
        <v>743</v>
      </c>
      <c r="J142" s="184" t="s">
        <v>633</v>
      </c>
      <c r="K142" s="318"/>
    </row>
    <row r="143" spans="2:11" ht="173.25" customHeight="1">
      <c r="B143" s="317"/>
      <c r="C143" s="316"/>
      <c r="D143" s="316"/>
      <c r="E143" s="316"/>
      <c r="F143" s="316"/>
      <c r="G143" s="141" t="s">
        <v>750</v>
      </c>
      <c r="H143" s="80" t="s">
        <v>751</v>
      </c>
      <c r="I143" s="120"/>
      <c r="J143" s="316"/>
      <c r="K143" s="318"/>
    </row>
    <row r="144" spans="2:11" ht="84" customHeight="1">
      <c r="B144" s="317"/>
      <c r="C144" s="316"/>
      <c r="D144" s="316"/>
      <c r="E144" s="316"/>
      <c r="F144" s="316"/>
      <c r="G144" s="141" t="s">
        <v>757</v>
      </c>
      <c r="H144" s="80" t="s">
        <v>752</v>
      </c>
      <c r="I144" s="120"/>
      <c r="J144" s="316"/>
      <c r="K144" s="318"/>
    </row>
    <row r="145" spans="2:13" ht="232.5" customHeight="1">
      <c r="B145" s="317"/>
      <c r="C145" s="316"/>
      <c r="D145" s="316"/>
      <c r="E145" s="316"/>
      <c r="F145" s="316"/>
      <c r="G145" s="141" t="s">
        <v>753</v>
      </c>
      <c r="H145" s="80" t="s">
        <v>754</v>
      </c>
      <c r="I145" s="120"/>
      <c r="J145" s="316"/>
      <c r="K145" s="318"/>
    </row>
    <row r="146" spans="2:13" ht="91.5" customHeight="1">
      <c r="B146" s="317"/>
      <c r="C146" s="316"/>
      <c r="D146" s="316"/>
      <c r="E146" s="316"/>
      <c r="F146" s="316"/>
      <c r="G146" s="36" t="s">
        <v>755</v>
      </c>
      <c r="H146" s="80" t="s">
        <v>756</v>
      </c>
      <c r="I146" s="120"/>
      <c r="J146" s="316"/>
      <c r="K146" s="318"/>
    </row>
    <row r="147" spans="2:13" ht="87.75" customHeight="1">
      <c r="B147" s="299"/>
      <c r="C147" s="185"/>
      <c r="D147" s="185"/>
      <c r="E147" s="185"/>
      <c r="F147" s="185"/>
      <c r="G147" s="36" t="s">
        <v>834</v>
      </c>
      <c r="H147" s="80" t="s">
        <v>752</v>
      </c>
      <c r="I147" s="120"/>
      <c r="J147" s="185"/>
      <c r="K147" s="318"/>
    </row>
    <row r="148" spans="2:13" ht="103.5" customHeight="1">
      <c r="B148" s="298" t="s">
        <v>184</v>
      </c>
      <c r="C148" s="184" t="s">
        <v>297</v>
      </c>
      <c r="D148" s="184" t="s">
        <v>616</v>
      </c>
      <c r="E148" s="184" t="s">
        <v>632</v>
      </c>
      <c r="F148" s="184" t="s">
        <v>620</v>
      </c>
      <c r="G148" s="52" t="s">
        <v>835</v>
      </c>
      <c r="H148" s="36" t="s">
        <v>836</v>
      </c>
      <c r="I148" s="120" t="s">
        <v>845</v>
      </c>
      <c r="J148" s="184" t="s">
        <v>633</v>
      </c>
      <c r="K148" s="319"/>
    </row>
    <row r="149" spans="2:13" ht="279" customHeight="1">
      <c r="B149" s="317"/>
      <c r="C149" s="316"/>
      <c r="D149" s="316"/>
      <c r="E149" s="316"/>
      <c r="F149" s="316"/>
      <c r="G149" s="52" t="s">
        <v>837</v>
      </c>
      <c r="H149" s="36" t="s">
        <v>838</v>
      </c>
      <c r="I149" s="120"/>
      <c r="J149" s="316"/>
      <c r="K149" s="320"/>
    </row>
    <row r="150" spans="2:13" ht="96.75" customHeight="1">
      <c r="B150" s="317"/>
      <c r="C150" s="316"/>
      <c r="D150" s="316"/>
      <c r="E150" s="316"/>
      <c r="F150" s="316"/>
      <c r="G150" s="52" t="s">
        <v>839</v>
      </c>
      <c r="H150" s="36"/>
      <c r="I150" s="120"/>
      <c r="J150" s="316"/>
      <c r="K150" s="320"/>
    </row>
    <row r="151" spans="2:13" ht="144" customHeight="1">
      <c r="B151" s="317"/>
      <c r="C151" s="316"/>
      <c r="D151" s="316"/>
      <c r="E151" s="316"/>
      <c r="F151" s="316"/>
      <c r="G151" s="52" t="s">
        <v>840</v>
      </c>
      <c r="H151" s="36" t="s">
        <v>841</v>
      </c>
      <c r="I151" s="120"/>
      <c r="J151" s="316"/>
      <c r="K151" s="320"/>
    </row>
    <row r="152" spans="2:13" ht="144" customHeight="1">
      <c r="B152" s="317"/>
      <c r="C152" s="316"/>
      <c r="D152" s="316"/>
      <c r="E152" s="316"/>
      <c r="F152" s="316"/>
      <c r="G152" s="52" t="s">
        <v>842</v>
      </c>
      <c r="H152" s="36" t="s">
        <v>843</v>
      </c>
      <c r="I152" s="120"/>
      <c r="J152" s="316"/>
      <c r="K152" s="320"/>
    </row>
    <row r="153" spans="2:13" ht="93.75" customHeight="1">
      <c r="B153" s="299"/>
      <c r="C153" s="185"/>
      <c r="D153" s="185"/>
      <c r="E153" s="185"/>
      <c r="F153" s="185"/>
      <c r="G153" s="36" t="s">
        <v>844</v>
      </c>
      <c r="H153" s="80" t="s">
        <v>752</v>
      </c>
      <c r="I153" s="120"/>
      <c r="J153" s="185"/>
      <c r="K153" s="321"/>
    </row>
    <row r="155" spans="2:13" ht="15" thickBot="1"/>
    <row r="156" spans="2:13">
      <c r="B156" s="272" t="s">
        <v>300</v>
      </c>
      <c r="C156" s="273"/>
      <c r="D156" s="273"/>
      <c r="E156" s="273"/>
      <c r="F156" s="273"/>
      <c r="G156" s="273"/>
      <c r="H156" s="273"/>
      <c r="I156" s="273"/>
      <c r="J156" s="273"/>
      <c r="K156" s="273"/>
      <c r="L156" s="273"/>
      <c r="M156" s="274"/>
    </row>
    <row r="157" spans="2:13" ht="15" thickBot="1"/>
    <row r="158" spans="2:13" ht="17" thickBot="1">
      <c r="B158" s="33" t="s">
        <v>77</v>
      </c>
      <c r="C158" s="32" t="s">
        <v>78</v>
      </c>
    </row>
    <row r="159" spans="2:13" ht="15" thickBot="1"/>
    <row r="160" spans="2:13" ht="15" thickBot="1">
      <c r="B160" s="307" t="s">
        <v>282</v>
      </c>
      <c r="C160" s="308"/>
      <c r="D160" s="308"/>
      <c r="E160" s="309"/>
    </row>
    <row r="162" spans="2:5">
      <c r="B162" s="258" t="s">
        <v>101</v>
      </c>
      <c r="C162" s="258"/>
      <c r="D162" s="258"/>
      <c r="E162" s="258"/>
    </row>
    <row r="163" spans="2:5">
      <c r="B163" s="42" t="s">
        <v>66</v>
      </c>
      <c r="C163" s="42" t="s">
        <v>244</v>
      </c>
      <c r="D163" s="42" t="s">
        <v>87</v>
      </c>
      <c r="E163" s="42" t="s">
        <v>102</v>
      </c>
    </row>
    <row r="164" spans="2:5">
      <c r="B164" s="59" t="s">
        <v>238</v>
      </c>
      <c r="C164" s="55">
        <f>C30</f>
        <v>1920</v>
      </c>
      <c r="D164" s="59" t="s">
        <v>303</v>
      </c>
      <c r="E164" s="75" t="s">
        <v>541</v>
      </c>
    </row>
    <row r="165" spans="2:5">
      <c r="B165" s="59" t="s">
        <v>237</v>
      </c>
      <c r="C165" s="55">
        <f>C29</f>
        <v>320</v>
      </c>
      <c r="D165" s="59" t="s">
        <v>303</v>
      </c>
      <c r="E165" s="75" t="s">
        <v>543</v>
      </c>
    </row>
    <row r="166" spans="2:5">
      <c r="B166" s="59" t="s">
        <v>211</v>
      </c>
      <c r="C166" s="55">
        <f>C31</f>
        <v>160</v>
      </c>
      <c r="D166" s="59" t="s">
        <v>303</v>
      </c>
      <c r="E166" s="59" t="s">
        <v>545</v>
      </c>
    </row>
    <row r="167" spans="2:5">
      <c r="B167" s="258" t="s">
        <v>123</v>
      </c>
      <c r="C167" s="258"/>
      <c r="D167" s="258"/>
      <c r="E167" s="258"/>
    </row>
    <row r="168" spans="2:5">
      <c r="B168" s="59" t="s">
        <v>302</v>
      </c>
      <c r="C168" s="55">
        <f>C164+C166+C165</f>
        <v>2400</v>
      </c>
      <c r="D168" s="59" t="s">
        <v>303</v>
      </c>
      <c r="E168" s="58"/>
    </row>
    <row r="169" spans="2:5" ht="15" thickBot="1"/>
    <row r="170" spans="2:5" ht="15" thickBot="1">
      <c r="B170" s="307" t="s">
        <v>422</v>
      </c>
      <c r="C170" s="308"/>
      <c r="D170" s="308"/>
      <c r="E170" s="309"/>
    </row>
    <row r="171" spans="2:5" ht="15" thickBot="1"/>
    <row r="172" spans="2:5" ht="15" thickBot="1">
      <c r="B172" s="307" t="s">
        <v>248</v>
      </c>
      <c r="C172" s="308"/>
      <c r="D172" s="308"/>
      <c r="E172" s="309"/>
    </row>
    <row r="174" spans="2:5">
      <c r="B174" s="118" t="s">
        <v>249</v>
      </c>
    </row>
    <row r="175" spans="2:5">
      <c r="B175" s="258" t="s">
        <v>101</v>
      </c>
      <c r="C175" s="258"/>
      <c r="D175" s="258"/>
      <c r="E175" s="258"/>
    </row>
    <row r="176" spans="2:5">
      <c r="B176" s="73" t="s">
        <v>66</v>
      </c>
      <c r="C176" s="73" t="s">
        <v>253</v>
      </c>
      <c r="D176" s="74" t="s">
        <v>87</v>
      </c>
      <c r="E176" s="42" t="s">
        <v>102</v>
      </c>
    </row>
    <row r="177" spans="2:5">
      <c r="B177" s="59" t="s">
        <v>302</v>
      </c>
      <c r="C177" s="55">
        <f>C168</f>
        <v>2400</v>
      </c>
      <c r="D177" s="59" t="s">
        <v>303</v>
      </c>
      <c r="E177" s="75"/>
    </row>
    <row r="178" spans="2:5" ht="58">
      <c r="B178" s="67" t="s">
        <v>426</v>
      </c>
      <c r="C178" s="70">
        <f>0.0067*C177</f>
        <v>16.080000000000002</v>
      </c>
      <c r="D178" s="59" t="s">
        <v>428</v>
      </c>
      <c r="E178" s="75" t="s">
        <v>287</v>
      </c>
    </row>
    <row r="179" spans="2:5" ht="58">
      <c r="B179" s="67" t="s">
        <v>425</v>
      </c>
      <c r="C179" s="70">
        <f>0.00895*C177</f>
        <v>21.48</v>
      </c>
      <c r="D179" s="59" t="s">
        <v>427</v>
      </c>
      <c r="E179" s="75" t="s">
        <v>254</v>
      </c>
    </row>
    <row r="180" spans="2:5" ht="58">
      <c r="B180" s="67" t="s">
        <v>256</v>
      </c>
      <c r="C180" s="70">
        <v>9.76</v>
      </c>
      <c r="D180" s="59" t="s">
        <v>424</v>
      </c>
      <c r="E180" s="34" t="s">
        <v>255</v>
      </c>
    </row>
    <row r="181" spans="2:5">
      <c r="B181" s="258" t="s">
        <v>123</v>
      </c>
      <c r="C181" s="258"/>
      <c r="D181" s="258"/>
      <c r="E181" s="258"/>
    </row>
    <row r="182" spans="2:5" ht="29">
      <c r="B182" s="59" t="s">
        <v>420</v>
      </c>
      <c r="C182" s="55">
        <f>0.7*C177</f>
        <v>1680</v>
      </c>
      <c r="D182" s="59" t="s">
        <v>423</v>
      </c>
      <c r="E182" s="58"/>
    </row>
    <row r="183" spans="2:5" ht="29">
      <c r="B183" s="59" t="s">
        <v>251</v>
      </c>
      <c r="C183" s="59">
        <f>C177*0.3</f>
        <v>720</v>
      </c>
      <c r="D183" s="59" t="s">
        <v>421</v>
      </c>
      <c r="E183" s="59"/>
    </row>
    <row r="184" spans="2:5" ht="15" thickBot="1"/>
    <row r="185" spans="2:5" ht="15" thickBot="1">
      <c r="B185" s="307" t="s">
        <v>277</v>
      </c>
      <c r="C185" s="308"/>
      <c r="D185" s="308"/>
      <c r="E185" s="309"/>
    </row>
    <row r="187" spans="2:5">
      <c r="B187" s="258" t="s">
        <v>101</v>
      </c>
      <c r="C187" s="258"/>
      <c r="D187" s="258"/>
      <c r="E187" s="258"/>
    </row>
    <row r="188" spans="2:5">
      <c r="B188" s="42" t="s">
        <v>66</v>
      </c>
      <c r="C188" s="42" t="s">
        <v>253</v>
      </c>
      <c r="D188" s="42" t="s">
        <v>87</v>
      </c>
      <c r="E188" s="42" t="s">
        <v>102</v>
      </c>
    </row>
    <row r="189" spans="2:5">
      <c r="B189" s="59" t="s">
        <v>429</v>
      </c>
      <c r="C189" s="55">
        <f>C183</f>
        <v>720</v>
      </c>
      <c r="D189" s="59" t="s">
        <v>430</v>
      </c>
      <c r="E189" s="76" t="s">
        <v>539</v>
      </c>
    </row>
    <row r="190" spans="2:5">
      <c r="B190" s="258" t="s">
        <v>123</v>
      </c>
      <c r="C190" s="258"/>
      <c r="D190" s="258"/>
      <c r="E190" s="258"/>
    </row>
    <row r="191" spans="2:5">
      <c r="B191" s="59" t="s">
        <v>279</v>
      </c>
      <c r="C191" s="55">
        <f>C189</f>
        <v>720</v>
      </c>
      <c r="D191" s="55" t="s">
        <v>431</v>
      </c>
      <c r="E191" s="58"/>
    </row>
    <row r="193" spans="2:6">
      <c r="B193" s="38" t="s">
        <v>176</v>
      </c>
    </row>
    <row r="195" spans="2:6">
      <c r="B195" s="258" t="s">
        <v>300</v>
      </c>
      <c r="C195" s="258"/>
      <c r="D195" s="258"/>
      <c r="E195" s="258"/>
      <c r="F195" s="105"/>
    </row>
    <row r="196" spans="2:6">
      <c r="B196" s="1" t="s">
        <v>162</v>
      </c>
      <c r="C196" s="58" t="s">
        <v>81</v>
      </c>
      <c r="D196" s="58" t="s">
        <v>175</v>
      </c>
      <c r="E196" s="58" t="s">
        <v>177</v>
      </c>
      <c r="F196" s="106"/>
    </row>
    <row r="197" spans="2:6">
      <c r="B197" s="36" t="s">
        <v>163</v>
      </c>
      <c r="C197" s="44">
        <v>9.2199999999999998E-6</v>
      </c>
      <c r="D197" s="57">
        <v>3.8800000000000001E-6</v>
      </c>
      <c r="E197" s="44">
        <v>4.4900000000000002E-4</v>
      </c>
    </row>
    <row r="198" spans="2:6">
      <c r="B198" s="36" t="s">
        <v>164</v>
      </c>
      <c r="C198" s="44">
        <v>1030</v>
      </c>
      <c r="D198" s="57">
        <v>137</v>
      </c>
      <c r="E198" s="44">
        <v>1140</v>
      </c>
    </row>
    <row r="199" spans="2:6">
      <c r="B199" s="36" t="s">
        <v>165</v>
      </c>
      <c r="C199" s="44">
        <v>3.6299999999999999E-2</v>
      </c>
      <c r="D199" s="57">
        <v>6.1199999999999997E-2</v>
      </c>
      <c r="E199" s="44">
        <v>0.108</v>
      </c>
    </row>
    <row r="200" spans="2:6">
      <c r="B200" s="36" t="s">
        <v>166</v>
      </c>
      <c r="C200" s="44">
        <v>6.2300000000000003E-3</v>
      </c>
      <c r="D200" s="57">
        <v>6.8500000000000002E-3</v>
      </c>
      <c r="E200" s="44">
        <v>1.8100000000000002E-2</v>
      </c>
    </row>
    <row r="201" spans="2:6">
      <c r="B201" s="36" t="s">
        <v>167</v>
      </c>
      <c r="C201" s="44">
        <v>0.40500000000000003</v>
      </c>
      <c r="D201" s="57">
        <v>4.2299999999999997E-2</v>
      </c>
      <c r="E201" s="44">
        <v>0.10100000000000001</v>
      </c>
    </row>
    <row r="202" spans="2:6">
      <c r="B202" s="36" t="s">
        <v>168</v>
      </c>
      <c r="C202" s="44">
        <v>7.63</v>
      </c>
      <c r="D202" s="57">
        <v>10.199999999999999</v>
      </c>
      <c r="E202" s="44">
        <v>156</v>
      </c>
    </row>
    <row r="203" spans="2:6" ht="29">
      <c r="B203" s="36" t="s">
        <v>169</v>
      </c>
      <c r="C203" s="44">
        <v>11.6</v>
      </c>
      <c r="D203" s="57">
        <v>10.6</v>
      </c>
      <c r="E203" s="44">
        <v>156</v>
      </c>
    </row>
    <row r="204" spans="2:6">
      <c r="B204" s="36" t="s">
        <v>170</v>
      </c>
      <c r="C204" s="44">
        <v>1.32</v>
      </c>
      <c r="D204" s="57">
        <v>0.52600000000000002</v>
      </c>
      <c r="E204" s="44">
        <v>4.6100000000000003</v>
      </c>
    </row>
    <row r="205" spans="2:6">
      <c r="B205" s="36" t="s">
        <v>171</v>
      </c>
      <c r="C205" s="44">
        <v>1330</v>
      </c>
      <c r="D205" s="57">
        <v>2210</v>
      </c>
      <c r="E205" s="44">
        <v>3890</v>
      </c>
    </row>
    <row r="206" spans="2:6">
      <c r="B206" s="36" t="s">
        <v>172</v>
      </c>
      <c r="C206" s="44">
        <v>6.2800000000000005E-11</v>
      </c>
      <c r="D206" s="57">
        <v>3.0099999999999998E-11</v>
      </c>
      <c r="E206" s="44">
        <v>5.2700000000000004E-10</v>
      </c>
    </row>
    <row r="207" spans="2:6">
      <c r="B207" s="36" t="s">
        <v>173</v>
      </c>
      <c r="C207" s="44">
        <v>5.4900000000000001E-3</v>
      </c>
      <c r="D207" s="57">
        <v>4.7699999999999999E-3</v>
      </c>
      <c r="E207" s="44">
        <v>9.3100000000000006E-3</v>
      </c>
    </row>
    <row r="208" spans="2:6">
      <c r="B208" s="36" t="s">
        <v>174</v>
      </c>
      <c r="C208" s="44">
        <v>0.152</v>
      </c>
      <c r="D208" s="57">
        <v>0.28299999999999997</v>
      </c>
      <c r="E208" s="44">
        <v>0.19500000000000001</v>
      </c>
    </row>
    <row r="209" spans="2:11" ht="15" thickBot="1"/>
    <row r="210" spans="2:11" ht="15" thickBot="1">
      <c r="B210" s="33" t="s">
        <v>178</v>
      </c>
      <c r="C210" s="32" t="s">
        <v>187</v>
      </c>
    </row>
    <row r="212" spans="2:11">
      <c r="B212" s="252" t="s">
        <v>300</v>
      </c>
      <c r="C212" s="252"/>
      <c r="D212" s="252"/>
      <c r="E212" s="252"/>
      <c r="F212" s="252"/>
      <c r="G212" s="252"/>
      <c r="H212" s="252"/>
      <c r="I212" s="252"/>
      <c r="J212" s="252"/>
    </row>
    <row r="213" spans="2:11">
      <c r="B213" s="42" t="s">
        <v>179</v>
      </c>
      <c r="C213" s="42" t="s">
        <v>33</v>
      </c>
      <c r="D213" s="42" t="s">
        <v>34</v>
      </c>
      <c r="E213" s="42" t="s">
        <v>35</v>
      </c>
      <c r="F213" s="42" t="s">
        <v>50</v>
      </c>
      <c r="G213" s="248" t="s">
        <v>196</v>
      </c>
      <c r="H213" s="249"/>
      <c r="I213" s="119" t="s">
        <v>189</v>
      </c>
      <c r="J213" s="42" t="s">
        <v>190</v>
      </c>
    </row>
    <row r="214" spans="2:11" ht="87" customHeight="1">
      <c r="B214" s="298" t="s">
        <v>2</v>
      </c>
      <c r="C214" s="184" t="s">
        <v>194</v>
      </c>
      <c r="D214" s="184" t="s">
        <v>289</v>
      </c>
      <c r="E214" s="184" t="s">
        <v>562</v>
      </c>
      <c r="F214" s="298"/>
      <c r="G214" s="294" t="s">
        <v>610</v>
      </c>
      <c r="H214" s="296" t="s">
        <v>611</v>
      </c>
      <c r="I214" s="284">
        <v>0.5</v>
      </c>
      <c r="J214" s="184" t="s">
        <v>290</v>
      </c>
    </row>
    <row r="215" spans="2:11" ht="1.5" customHeight="1">
      <c r="B215" s="299"/>
      <c r="C215" s="185"/>
      <c r="D215" s="185"/>
      <c r="E215" s="185"/>
      <c r="F215" s="299"/>
      <c r="G215" s="295"/>
      <c r="H215" s="297"/>
      <c r="I215" s="286"/>
      <c r="J215" s="185"/>
    </row>
    <row r="216" spans="2:11" ht="39.75" customHeight="1">
      <c r="B216" s="298" t="s">
        <v>180</v>
      </c>
      <c r="C216" s="184" t="s">
        <v>573</v>
      </c>
      <c r="D216" s="184" t="s">
        <v>200</v>
      </c>
      <c r="E216" s="184" t="s">
        <v>550</v>
      </c>
      <c r="F216" s="182"/>
      <c r="G216" s="52" t="s">
        <v>613</v>
      </c>
      <c r="H216" s="50" t="s">
        <v>294</v>
      </c>
      <c r="I216" s="284">
        <v>0</v>
      </c>
      <c r="J216" s="184" t="s">
        <v>739</v>
      </c>
    </row>
    <row r="217" spans="2:11" ht="39.75" customHeight="1">
      <c r="B217" s="299"/>
      <c r="C217" s="185"/>
      <c r="D217" s="185"/>
      <c r="E217" s="185"/>
      <c r="F217" s="183"/>
      <c r="G217" s="36" t="s">
        <v>612</v>
      </c>
      <c r="H217" s="34" t="s">
        <v>572</v>
      </c>
      <c r="I217" s="286"/>
      <c r="J217" s="185"/>
    </row>
    <row r="218" spans="2:11" ht="30" customHeight="1">
      <c r="B218" s="298" t="s">
        <v>181</v>
      </c>
      <c r="C218" s="184" t="s">
        <v>566</v>
      </c>
      <c r="D218" s="184" t="s">
        <v>202</v>
      </c>
      <c r="E218" s="184" t="s">
        <v>296</v>
      </c>
      <c r="F218" s="184" t="s">
        <v>550</v>
      </c>
      <c r="G218" s="302" t="s">
        <v>679</v>
      </c>
      <c r="H218" s="298" t="s">
        <v>680</v>
      </c>
      <c r="I218" s="300" t="s">
        <v>681</v>
      </c>
      <c r="J218" s="184" t="s">
        <v>740</v>
      </c>
      <c r="K218" s="77"/>
    </row>
    <row r="219" spans="2:11" ht="142.5" customHeight="1">
      <c r="B219" s="299"/>
      <c r="C219" s="185"/>
      <c r="D219" s="185"/>
      <c r="E219" s="185"/>
      <c r="F219" s="185"/>
      <c r="G219" s="303"/>
      <c r="H219" s="299"/>
      <c r="I219" s="301"/>
      <c r="J219" s="185"/>
      <c r="K219" s="127"/>
    </row>
    <row r="220" spans="2:11" ht="202.5" customHeight="1">
      <c r="B220" s="37" t="s">
        <v>7</v>
      </c>
      <c r="C220" s="36" t="s">
        <v>615</v>
      </c>
      <c r="D220" s="36" t="s">
        <v>616</v>
      </c>
      <c r="E220" s="36" t="s">
        <v>617</v>
      </c>
      <c r="F220" s="36" t="s">
        <v>299</v>
      </c>
      <c r="G220" s="52" t="s">
        <v>618</v>
      </c>
      <c r="H220" s="79" t="s">
        <v>619</v>
      </c>
      <c r="I220" s="120">
        <v>1</v>
      </c>
      <c r="J220" s="45" t="s">
        <v>741</v>
      </c>
    </row>
    <row r="221" spans="2:11" ht="157.5" customHeight="1">
      <c r="B221" s="298" t="s">
        <v>183</v>
      </c>
      <c r="C221" s="184" t="s">
        <v>615</v>
      </c>
      <c r="D221" s="184" t="s">
        <v>616</v>
      </c>
      <c r="E221" s="184" t="s">
        <v>298</v>
      </c>
      <c r="F221" s="184" t="s">
        <v>620</v>
      </c>
      <c r="G221" s="322" t="s">
        <v>742</v>
      </c>
      <c r="H221" s="323" t="s">
        <v>833</v>
      </c>
      <c r="I221" s="120" t="s">
        <v>743</v>
      </c>
      <c r="J221" s="324" t="s">
        <v>746</v>
      </c>
      <c r="K221" s="291"/>
    </row>
    <row r="222" spans="2:11" ht="15.75" customHeight="1">
      <c r="B222" s="317"/>
      <c r="C222" s="316"/>
      <c r="D222" s="316"/>
      <c r="E222" s="316"/>
      <c r="F222" s="316"/>
      <c r="G222" s="322"/>
      <c r="H222" s="323"/>
      <c r="I222" s="120"/>
      <c r="J222" s="316"/>
      <c r="K222" s="292"/>
    </row>
    <row r="223" spans="2:11" ht="409.5" customHeight="1">
      <c r="B223" s="299"/>
      <c r="C223" s="185"/>
      <c r="D223" s="185"/>
      <c r="E223" s="185"/>
      <c r="F223" s="185"/>
      <c r="G223" s="322"/>
      <c r="H223" s="323"/>
      <c r="I223" s="120"/>
      <c r="J223" s="185"/>
      <c r="K223" s="293"/>
    </row>
    <row r="224" spans="2:11" ht="192" customHeight="1">
      <c r="B224" s="298" t="s">
        <v>184</v>
      </c>
      <c r="C224" s="184" t="s">
        <v>615</v>
      </c>
      <c r="D224" s="184" t="s">
        <v>616</v>
      </c>
      <c r="E224" s="184" t="s">
        <v>298</v>
      </c>
      <c r="F224" s="184" t="s">
        <v>620</v>
      </c>
      <c r="G224" s="52" t="s">
        <v>744</v>
      </c>
      <c r="H224" s="36" t="s">
        <v>621</v>
      </c>
      <c r="I224" s="120" t="s">
        <v>832</v>
      </c>
      <c r="J224" s="184" t="s">
        <v>622</v>
      </c>
    </row>
    <row r="225" spans="2:10">
      <c r="B225" s="317"/>
      <c r="C225" s="316"/>
      <c r="D225" s="316"/>
      <c r="E225" s="316"/>
      <c r="F225" s="316"/>
      <c r="G225" s="161" t="s">
        <v>745</v>
      </c>
      <c r="H225" s="162" t="s">
        <v>683</v>
      </c>
      <c r="I225" s="120"/>
      <c r="J225" s="316"/>
    </row>
    <row r="226" spans="2:10" ht="15" customHeight="1">
      <c r="B226" s="317"/>
      <c r="C226" s="316"/>
      <c r="D226" s="316"/>
      <c r="E226" s="316"/>
      <c r="F226" s="316"/>
      <c r="G226" s="69" t="s">
        <v>828</v>
      </c>
      <c r="H226" s="36" t="s">
        <v>829</v>
      </c>
      <c r="I226" s="120"/>
      <c r="J226" s="316"/>
    </row>
    <row r="227" spans="2:10" ht="43.5">
      <c r="B227" s="317"/>
      <c r="C227" s="316"/>
      <c r="D227" s="316"/>
      <c r="E227" s="316"/>
      <c r="F227" s="316"/>
      <c r="G227" s="69" t="s">
        <v>830</v>
      </c>
      <c r="H227" s="36" t="s">
        <v>831</v>
      </c>
      <c r="I227" s="120"/>
      <c r="J227" s="316"/>
    </row>
    <row r="228" spans="2:10" ht="15.5">
      <c r="B228" s="299"/>
      <c r="C228" s="185"/>
      <c r="D228" s="185"/>
      <c r="E228" s="185"/>
      <c r="F228" s="185"/>
      <c r="G228" s="69"/>
      <c r="H228" s="78"/>
      <c r="I228" s="120"/>
      <c r="J228" s="185"/>
    </row>
    <row r="231" spans="2:10">
      <c r="B231" s="24"/>
      <c r="C231" s="77"/>
      <c r="D231" s="24"/>
    </row>
  </sheetData>
  <autoFilter ref="B135:J153" xr:uid="{E31D6056-A055-4D9F-AE85-C3BE1BA82FE9}">
    <filterColumn colId="0" showButton="0"/>
    <filterColumn colId="1" showButton="0"/>
    <filterColumn colId="2" showButton="0"/>
    <filterColumn colId="3" showButton="0"/>
    <filterColumn colId="4" showButton="0"/>
    <filterColumn colId="5" showButton="0"/>
    <filterColumn colId="6" showButton="0">
      <iconFilter iconSet="3Arrows"/>
    </filterColumn>
    <filterColumn colId="7" showButton="0"/>
  </autoFilter>
  <mergeCells count="105">
    <mergeCell ref="J224:J228"/>
    <mergeCell ref="B224:B228"/>
    <mergeCell ref="C224:C228"/>
    <mergeCell ref="D224:D228"/>
    <mergeCell ref="E224:E228"/>
    <mergeCell ref="F224:F228"/>
    <mergeCell ref="B221:B223"/>
    <mergeCell ref="C221:C223"/>
    <mergeCell ref="D221:D223"/>
    <mergeCell ref="E221:E223"/>
    <mergeCell ref="F221:F223"/>
    <mergeCell ref="G221:G223"/>
    <mergeCell ref="H221:H223"/>
    <mergeCell ref="J221:J223"/>
    <mergeCell ref="B195:E195"/>
    <mergeCell ref="B212:J212"/>
    <mergeCell ref="G213:H213"/>
    <mergeCell ref="B214:B215"/>
    <mergeCell ref="C214:C215"/>
    <mergeCell ref="D214:D215"/>
    <mergeCell ref="E214:E215"/>
    <mergeCell ref="F214:F215"/>
    <mergeCell ref="I214:I215"/>
    <mergeCell ref="J214:J215"/>
    <mergeCell ref="B167:E167"/>
    <mergeCell ref="C148:C153"/>
    <mergeCell ref="B148:B153"/>
    <mergeCell ref="J148:J153"/>
    <mergeCell ref="B185:E185"/>
    <mergeCell ref="B187:E187"/>
    <mergeCell ref="B190:E190"/>
    <mergeCell ref="B170:E170"/>
    <mergeCell ref="B172:E172"/>
    <mergeCell ref="B175:E175"/>
    <mergeCell ref="B181:E181"/>
    <mergeCell ref="E142:E147"/>
    <mergeCell ref="F142:F147"/>
    <mergeCell ref="B156:M156"/>
    <mergeCell ref="B160:E160"/>
    <mergeCell ref="B162:E162"/>
    <mergeCell ref="F148:F153"/>
    <mergeCell ref="E148:E153"/>
    <mergeCell ref="D148:D153"/>
    <mergeCell ref="B142:B147"/>
    <mergeCell ref="C142:C147"/>
    <mergeCell ref="D142:D147"/>
    <mergeCell ref="K142:K147"/>
    <mergeCell ref="K148:K153"/>
    <mergeCell ref="J142:J147"/>
    <mergeCell ref="B104:E104"/>
    <mergeCell ref="B113:E113"/>
    <mergeCell ref="B99:E99"/>
    <mergeCell ref="B102:E102"/>
    <mergeCell ref="B118:E118"/>
    <mergeCell ref="B135:J135"/>
    <mergeCell ref="G136:H136"/>
    <mergeCell ref="F137:F138"/>
    <mergeCell ref="E137:E138"/>
    <mergeCell ref="D137:D138"/>
    <mergeCell ref="C137:C138"/>
    <mergeCell ref="I137:I138"/>
    <mergeCell ref="J137:J138"/>
    <mergeCell ref="B137:B138"/>
    <mergeCell ref="B73:E73"/>
    <mergeCell ref="B66:E66"/>
    <mergeCell ref="B79:E79"/>
    <mergeCell ref="B80:E80"/>
    <mergeCell ref="B57:E57"/>
    <mergeCell ref="B62:E62"/>
    <mergeCell ref="B67:E67"/>
    <mergeCell ref="G102:Q102"/>
    <mergeCell ref="B84:E84"/>
    <mergeCell ref="B88:E88"/>
    <mergeCell ref="B90:E90"/>
    <mergeCell ref="B93:E93"/>
    <mergeCell ref="B96:E96"/>
    <mergeCell ref="B38:M38"/>
    <mergeCell ref="B27:C27"/>
    <mergeCell ref="D27:E27"/>
    <mergeCell ref="B31:B35"/>
    <mergeCell ref="C31:C35"/>
    <mergeCell ref="B44:E44"/>
    <mergeCell ref="B49:E49"/>
    <mergeCell ref="B42:E42"/>
    <mergeCell ref="B54:E54"/>
    <mergeCell ref="E46:E47"/>
    <mergeCell ref="K221:K223"/>
    <mergeCell ref="G214:G215"/>
    <mergeCell ref="H214:H215"/>
    <mergeCell ref="B216:B217"/>
    <mergeCell ref="C216:C217"/>
    <mergeCell ref="D216:D217"/>
    <mergeCell ref="E216:E217"/>
    <mergeCell ref="F216:F217"/>
    <mergeCell ref="I216:I217"/>
    <mergeCell ref="J216:J217"/>
    <mergeCell ref="B218:B219"/>
    <mergeCell ref="C218:C219"/>
    <mergeCell ref="D218:D219"/>
    <mergeCell ref="E218:E219"/>
    <mergeCell ref="F218:F219"/>
    <mergeCell ref="I218:I219"/>
    <mergeCell ref="J218:J219"/>
    <mergeCell ref="G218:G219"/>
    <mergeCell ref="H218:H219"/>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D022-F6D0-48B9-9BC5-EED647D91216}">
  <dimension ref="A1:Z99"/>
  <sheetViews>
    <sheetView zoomScale="83" workbookViewId="0">
      <selection activeCell="K25" sqref="K25"/>
    </sheetView>
  </sheetViews>
  <sheetFormatPr defaultColWidth="10.81640625" defaultRowHeight="14.5"/>
  <sheetData>
    <row r="1" spans="1:26" ht="21">
      <c r="A1" s="11" t="s">
        <v>304</v>
      </c>
    </row>
    <row r="3" spans="1:26" ht="15.5">
      <c r="B3" s="328" t="s">
        <v>305</v>
      </c>
      <c r="C3" s="81" t="s">
        <v>306</v>
      </c>
      <c r="D3" s="82">
        <v>1322</v>
      </c>
      <c r="F3" s="83" t="s">
        <v>307</v>
      </c>
    </row>
    <row r="4" spans="1:26">
      <c r="B4" s="328"/>
      <c r="C4" s="45" t="s">
        <v>308</v>
      </c>
      <c r="D4" s="84">
        <v>330.5</v>
      </c>
    </row>
    <row r="5" spans="1:26">
      <c r="B5" s="328"/>
      <c r="C5" s="81" t="s">
        <v>309</v>
      </c>
      <c r="D5" s="82">
        <v>6</v>
      </c>
      <c r="F5" s="85" t="s">
        <v>310</v>
      </c>
      <c r="G5" t="s">
        <v>311</v>
      </c>
      <c r="J5" s="25" t="s">
        <v>312</v>
      </c>
      <c r="K5" t="s">
        <v>313</v>
      </c>
    </row>
    <row r="6" spans="1:26">
      <c r="B6" s="328"/>
      <c r="C6" s="37" t="s">
        <v>314</v>
      </c>
      <c r="D6" s="84">
        <v>280</v>
      </c>
      <c r="F6" s="86" t="s">
        <v>315</v>
      </c>
      <c r="G6" s="25" t="s">
        <v>316</v>
      </c>
      <c r="H6" s="87">
        <f>D8/(D6+D7)</f>
        <v>0.42666666666666669</v>
      </c>
      <c r="J6" s="25" t="s">
        <v>317</v>
      </c>
      <c r="K6" t="s">
        <v>318</v>
      </c>
    </row>
    <row r="7" spans="1:26">
      <c r="B7" s="328"/>
      <c r="C7" s="88" t="s">
        <v>319</v>
      </c>
      <c r="D7" s="82">
        <v>95</v>
      </c>
      <c r="F7" s="85"/>
      <c r="J7" s="25" t="s">
        <v>320</v>
      </c>
      <c r="K7" t="s">
        <v>321</v>
      </c>
    </row>
    <row r="8" spans="1:26">
      <c r="B8" s="328"/>
      <c r="C8" s="45" t="s">
        <v>322</v>
      </c>
      <c r="D8" s="84">
        <v>160</v>
      </c>
    </row>
    <row r="9" spans="1:26">
      <c r="B9" s="328"/>
      <c r="C9" s="81" t="s">
        <v>323</v>
      </c>
      <c r="D9" s="82">
        <v>9.8000000000000007</v>
      </c>
      <c r="F9" t="s">
        <v>324</v>
      </c>
      <c r="S9" s="85"/>
      <c r="W9" s="25"/>
    </row>
    <row r="10" spans="1:26">
      <c r="B10" s="89"/>
      <c r="C10" s="90"/>
      <c r="D10" s="24"/>
      <c r="G10" t="s">
        <v>325</v>
      </c>
      <c r="K10" s="25">
        <v>60</v>
      </c>
      <c r="L10" t="s">
        <v>326</v>
      </c>
      <c r="S10" s="85"/>
      <c r="T10" s="25"/>
      <c r="U10" s="25"/>
      <c r="W10" s="25"/>
    </row>
    <row r="11" spans="1:26">
      <c r="B11" s="89"/>
      <c r="C11" s="90"/>
      <c r="D11" s="24"/>
      <c r="S11" s="85"/>
      <c r="U11" s="25"/>
      <c r="W11" s="25"/>
      <c r="X11" s="85"/>
      <c r="Y11" s="85"/>
      <c r="Z11" s="25"/>
    </row>
    <row r="12" spans="1:26">
      <c r="B12" s="89"/>
      <c r="C12" s="90"/>
      <c r="D12" s="24"/>
      <c r="F12" s="85" t="s">
        <v>327</v>
      </c>
      <c r="G12" s="242" t="s">
        <v>328</v>
      </c>
      <c r="H12" s="242"/>
      <c r="I12" s="25">
        <f>0.92*K10</f>
        <v>55.2</v>
      </c>
      <c r="J12" t="s">
        <v>326</v>
      </c>
      <c r="U12" s="25"/>
    </row>
    <row r="13" spans="1:26">
      <c r="B13" s="89"/>
      <c r="C13" s="90"/>
      <c r="D13" s="24"/>
      <c r="S13" s="85"/>
      <c r="U13" s="25"/>
      <c r="W13" s="25"/>
    </row>
    <row r="14" spans="1:26">
      <c r="F14" t="s">
        <v>329</v>
      </c>
      <c r="J14" t="s">
        <v>330</v>
      </c>
      <c r="S14" s="85"/>
      <c r="T14" s="25"/>
      <c r="U14" s="25"/>
      <c r="X14" s="85"/>
      <c r="Y14" s="85"/>
      <c r="Z14" s="25"/>
    </row>
    <row r="15" spans="1:26">
      <c r="G15" s="85" t="s">
        <v>331</v>
      </c>
      <c r="H15" s="85" t="s">
        <v>332</v>
      </c>
      <c r="I15" s="25">
        <v>9</v>
      </c>
      <c r="J15" t="s">
        <v>326</v>
      </c>
    </row>
    <row r="16" spans="1:26">
      <c r="G16" s="85"/>
      <c r="H16" s="85"/>
      <c r="I16" s="25"/>
    </row>
    <row r="17" spans="1:14">
      <c r="F17" s="85" t="s">
        <v>333</v>
      </c>
      <c r="G17" s="242" t="s">
        <v>334</v>
      </c>
      <c r="H17" s="242"/>
      <c r="I17" s="25">
        <f>I12-I15</f>
        <v>46.2</v>
      </c>
      <c r="J17" t="s">
        <v>326</v>
      </c>
    </row>
    <row r="18" spans="1:14">
      <c r="G18" s="85"/>
      <c r="H18" s="85"/>
      <c r="I18" s="25"/>
    </row>
    <row r="19" spans="1:14" ht="15.5">
      <c r="I19" s="91" t="s">
        <v>335</v>
      </c>
      <c r="N19" s="92" t="s">
        <v>336</v>
      </c>
    </row>
    <row r="20" spans="1:14" ht="15.5">
      <c r="I20" s="93" t="s">
        <v>337</v>
      </c>
    </row>
    <row r="23" spans="1:14" ht="21">
      <c r="A23" s="11" t="s">
        <v>338</v>
      </c>
      <c r="F23" t="s">
        <v>339</v>
      </c>
    </row>
    <row r="24" spans="1:14" ht="21">
      <c r="A24" s="11"/>
    </row>
    <row r="25" spans="1:14" ht="21">
      <c r="A25" s="11"/>
      <c r="B25" s="94" t="s">
        <v>340</v>
      </c>
    </row>
    <row r="26" spans="1:14" ht="21">
      <c r="A26" s="11"/>
    </row>
    <row r="27" spans="1:14">
      <c r="B27" t="s">
        <v>341</v>
      </c>
      <c r="D27" t="s">
        <v>342</v>
      </c>
    </row>
    <row r="28" spans="1:14">
      <c r="B28" t="s">
        <v>343</v>
      </c>
      <c r="G28" t="s">
        <v>344</v>
      </c>
    </row>
    <row r="29" spans="1:14">
      <c r="C29" s="85" t="s">
        <v>345</v>
      </c>
      <c r="D29" s="25" t="s">
        <v>346</v>
      </c>
    </row>
    <row r="30" spans="1:14">
      <c r="D30" s="4" t="s">
        <v>347</v>
      </c>
    </row>
    <row r="31" spans="1:14">
      <c r="E31" t="s">
        <v>348</v>
      </c>
    </row>
    <row r="33" spans="2:11">
      <c r="B33" t="s">
        <v>349</v>
      </c>
      <c r="K33" t="s">
        <v>350</v>
      </c>
    </row>
    <row r="34" spans="2:11">
      <c r="B34" t="s">
        <v>351</v>
      </c>
    </row>
    <row r="35" spans="2:11">
      <c r="B35" t="s">
        <v>352</v>
      </c>
      <c r="E35" s="25">
        <v>2600</v>
      </c>
      <c r="F35" t="s">
        <v>353</v>
      </c>
      <c r="G35" t="s">
        <v>354</v>
      </c>
    </row>
    <row r="36" spans="2:11">
      <c r="C36" t="s">
        <v>355</v>
      </c>
      <c r="G36" t="s">
        <v>356</v>
      </c>
      <c r="H36" t="s">
        <v>357</v>
      </c>
    </row>
    <row r="37" spans="2:11">
      <c r="B37" t="s">
        <v>358</v>
      </c>
      <c r="D37" s="25">
        <v>3100</v>
      </c>
      <c r="E37" t="s">
        <v>353</v>
      </c>
    </row>
    <row r="39" spans="2:11">
      <c r="B39" t="s">
        <v>359</v>
      </c>
    </row>
    <row r="40" spans="2:11">
      <c r="C40" t="s">
        <v>360</v>
      </c>
    </row>
    <row r="41" spans="2:11">
      <c r="C41" t="s">
        <v>361</v>
      </c>
      <c r="D41" t="s">
        <v>362</v>
      </c>
    </row>
    <row r="42" spans="2:11">
      <c r="C42" s="85" t="s">
        <v>345</v>
      </c>
      <c r="D42" s="25" t="s">
        <v>363</v>
      </c>
    </row>
    <row r="43" spans="2:11">
      <c r="E43" t="s">
        <v>364</v>
      </c>
    </row>
    <row r="44" spans="2:11">
      <c r="E44" t="s">
        <v>365</v>
      </c>
    </row>
    <row r="45" spans="2:11">
      <c r="E45" t="s">
        <v>366</v>
      </c>
    </row>
    <row r="46" spans="2:11" ht="15.5">
      <c r="C46" s="95" t="s">
        <v>367</v>
      </c>
    </row>
    <row r="47" spans="2:11">
      <c r="C47" t="s">
        <v>368</v>
      </c>
    </row>
    <row r="48" spans="2:11">
      <c r="D48" t="s">
        <v>369</v>
      </c>
    </row>
    <row r="50" spans="2:12">
      <c r="B50" t="s">
        <v>370</v>
      </c>
    </row>
    <row r="52" spans="2:12">
      <c r="B52" t="s">
        <v>371</v>
      </c>
    </row>
    <row r="53" spans="2:12">
      <c r="C53" s="85" t="s">
        <v>345</v>
      </c>
      <c r="D53" s="85" t="s">
        <v>372</v>
      </c>
      <c r="E53" s="25">
        <v>320</v>
      </c>
      <c r="F53" t="s">
        <v>353</v>
      </c>
    </row>
    <row r="54" spans="2:12">
      <c r="D54" s="85" t="s">
        <v>373</v>
      </c>
      <c r="E54" s="25">
        <v>0.55000000000000004</v>
      </c>
    </row>
    <row r="55" spans="2:12">
      <c r="D55" s="85" t="s">
        <v>374</v>
      </c>
      <c r="E55" s="25" t="s">
        <v>346</v>
      </c>
    </row>
    <row r="57" spans="2:12">
      <c r="B57" t="s">
        <v>329</v>
      </c>
      <c r="F57" t="s">
        <v>330</v>
      </c>
    </row>
    <row r="58" spans="2:12">
      <c r="C58" s="85" t="s">
        <v>331</v>
      </c>
      <c r="D58" s="85" t="s">
        <v>332</v>
      </c>
      <c r="E58" s="25">
        <v>9</v>
      </c>
      <c r="F58" t="s">
        <v>326</v>
      </c>
      <c r="H58" s="85" t="s">
        <v>375</v>
      </c>
      <c r="I58" s="242" t="s">
        <v>376</v>
      </c>
      <c r="J58" s="242"/>
      <c r="K58" s="25">
        <f>37+E58</f>
        <v>46</v>
      </c>
      <c r="L58" t="s">
        <v>326</v>
      </c>
    </row>
    <row r="60" spans="2:12">
      <c r="H60" t="s">
        <v>377</v>
      </c>
    </row>
    <row r="61" spans="2:12">
      <c r="H61" s="85" t="s">
        <v>327</v>
      </c>
      <c r="I61" s="242" t="s">
        <v>378</v>
      </c>
      <c r="J61" s="242"/>
    </row>
    <row r="62" spans="2:12">
      <c r="H62" s="85" t="s">
        <v>379</v>
      </c>
      <c r="I62" s="242" t="s">
        <v>380</v>
      </c>
      <c r="J62" s="242"/>
      <c r="K62" s="25">
        <f>K58/0.92</f>
        <v>50</v>
      </c>
      <c r="L62" t="s">
        <v>326</v>
      </c>
    </row>
    <row r="64" spans="2:12">
      <c r="H64" t="s">
        <v>381</v>
      </c>
    </row>
    <row r="65" spans="9:20">
      <c r="I65" t="s">
        <v>382</v>
      </c>
      <c r="N65" s="4" t="s">
        <v>383</v>
      </c>
    </row>
    <row r="66" spans="9:20" ht="15.5">
      <c r="K66" s="85" t="s">
        <v>331</v>
      </c>
      <c r="L66" s="85" t="s">
        <v>384</v>
      </c>
      <c r="M66" s="25">
        <v>0.5</v>
      </c>
      <c r="P66" s="83" t="s">
        <v>385</v>
      </c>
    </row>
    <row r="68" spans="9:20">
      <c r="P68" t="s">
        <v>386</v>
      </c>
    </row>
    <row r="69" spans="9:20">
      <c r="Q69" s="85" t="s">
        <v>387</v>
      </c>
      <c r="R69" t="s">
        <v>388</v>
      </c>
    </row>
    <row r="70" spans="9:20">
      <c r="Q70" s="85" t="s">
        <v>315</v>
      </c>
      <c r="R70" s="96" t="s">
        <v>389</v>
      </c>
      <c r="S70" s="25">
        <f>M66*E53</f>
        <v>160</v>
      </c>
      <c r="T70" t="s">
        <v>353</v>
      </c>
    </row>
    <row r="71" spans="9:20">
      <c r="S71" s="25"/>
    </row>
    <row r="72" spans="9:20">
      <c r="P72" t="s">
        <v>390</v>
      </c>
      <c r="S72" s="25"/>
    </row>
    <row r="73" spans="9:20">
      <c r="Q73" s="85" t="s">
        <v>391</v>
      </c>
      <c r="R73" t="s">
        <v>392</v>
      </c>
    </row>
    <row r="74" spans="9:20">
      <c r="Q74" s="85" t="s">
        <v>315</v>
      </c>
      <c r="R74" s="96" t="s">
        <v>393</v>
      </c>
      <c r="S74" s="87">
        <f>E53/D37</f>
        <v>0.1032258064516129</v>
      </c>
      <c r="T74" t="s">
        <v>394</v>
      </c>
    </row>
    <row r="75" spans="9:20">
      <c r="T75" s="25"/>
    </row>
    <row r="76" spans="9:20">
      <c r="P76" t="s">
        <v>395</v>
      </c>
      <c r="T76" s="25"/>
    </row>
    <row r="77" spans="9:20">
      <c r="Q77" s="85" t="s">
        <v>396</v>
      </c>
      <c r="R77" t="s">
        <v>397</v>
      </c>
    </row>
    <row r="78" spans="9:20">
      <c r="Q78" s="85" t="s">
        <v>315</v>
      </c>
      <c r="R78" s="25" t="s">
        <v>398</v>
      </c>
      <c r="S78" s="25">
        <f>S70/1000</f>
        <v>0.16</v>
      </c>
      <c r="T78" t="s">
        <v>394</v>
      </c>
    </row>
    <row r="79" spans="9:20">
      <c r="S79" s="25"/>
    </row>
    <row r="80" spans="9:20">
      <c r="P80" t="s">
        <v>399</v>
      </c>
      <c r="S80" s="25"/>
    </row>
    <row r="81" spans="1:26">
      <c r="Q81" s="85" t="s">
        <v>400</v>
      </c>
      <c r="R81" t="s">
        <v>401</v>
      </c>
    </row>
    <row r="82" spans="1:26">
      <c r="Q82" s="85" t="s">
        <v>315</v>
      </c>
      <c r="R82" s="242" t="s">
        <v>402</v>
      </c>
      <c r="S82" s="242"/>
      <c r="T82" s="87">
        <f>1-S74-S78</f>
        <v>0.73677419354838702</v>
      </c>
      <c r="U82" t="s">
        <v>394</v>
      </c>
    </row>
    <row r="83" spans="1:26">
      <c r="S83" s="25"/>
    </row>
    <row r="84" spans="1:26">
      <c r="P84" t="s">
        <v>403</v>
      </c>
      <c r="S84" s="25"/>
      <c r="X84" s="16"/>
      <c r="Y84" s="90"/>
      <c r="Z84" s="24"/>
    </row>
    <row r="85" spans="1:26">
      <c r="Q85" s="85" t="s">
        <v>404</v>
      </c>
      <c r="R85" t="s">
        <v>405</v>
      </c>
      <c r="X85" s="16"/>
      <c r="Y85" s="16"/>
      <c r="Z85" s="24"/>
    </row>
    <row r="86" spans="1:26">
      <c r="Q86" s="85" t="s">
        <v>315</v>
      </c>
      <c r="R86" s="242" t="s">
        <v>406</v>
      </c>
      <c r="S86" s="242"/>
      <c r="T86" s="97">
        <f>T82*E35</f>
        <v>1915.6129032258063</v>
      </c>
      <c r="U86" t="s">
        <v>407</v>
      </c>
      <c r="X86" s="16"/>
      <c r="Y86" s="16"/>
      <c r="Z86" s="24"/>
    </row>
    <row r="87" spans="1:26" ht="15" thickBot="1">
      <c r="S87" s="85" t="s">
        <v>408</v>
      </c>
      <c r="T87" s="25">
        <v>1920</v>
      </c>
      <c r="U87" t="s">
        <v>407</v>
      </c>
      <c r="X87" s="16"/>
      <c r="Y87" s="16"/>
      <c r="Z87" s="24"/>
    </row>
    <row r="88" spans="1:26">
      <c r="S88" s="25"/>
      <c r="V88" s="98"/>
      <c r="W88" s="325" t="s">
        <v>305</v>
      </c>
      <c r="X88" s="99" t="s">
        <v>409</v>
      </c>
      <c r="Y88" s="100">
        <v>320</v>
      </c>
    </row>
    <row r="89" spans="1:26">
      <c r="P89" t="s">
        <v>410</v>
      </c>
      <c r="S89" s="25"/>
      <c r="V89" s="98"/>
      <c r="W89" s="326"/>
      <c r="X89" s="45" t="s">
        <v>411</v>
      </c>
      <c r="Y89" s="101">
        <v>1920</v>
      </c>
    </row>
    <row r="90" spans="1:26" ht="15" thickBot="1">
      <c r="Q90" s="85" t="s">
        <v>412</v>
      </c>
      <c r="R90" t="s">
        <v>413</v>
      </c>
      <c r="V90" s="98"/>
      <c r="W90" s="327"/>
      <c r="X90" s="102" t="s">
        <v>322</v>
      </c>
      <c r="Y90" s="103">
        <v>160</v>
      </c>
    </row>
    <row r="91" spans="1:26">
      <c r="Q91" s="85" t="s">
        <v>315</v>
      </c>
      <c r="R91" s="242" t="s">
        <v>414</v>
      </c>
      <c r="S91" s="242"/>
      <c r="T91" s="25">
        <f>E53+S70+T87</f>
        <v>2400</v>
      </c>
      <c r="U91" t="s">
        <v>407</v>
      </c>
    </row>
    <row r="92" spans="1:26">
      <c r="S92" s="25"/>
    </row>
    <row r="93" spans="1:26">
      <c r="S93" s="25"/>
      <c r="U93" t="s">
        <v>415</v>
      </c>
    </row>
    <row r="95" spans="1:26" ht="20">
      <c r="A95" s="104" t="s">
        <v>416</v>
      </c>
    </row>
    <row r="97" spans="2:3">
      <c r="B97" t="s">
        <v>417</v>
      </c>
    </row>
    <row r="98" spans="2:3">
      <c r="C98" t="s">
        <v>418</v>
      </c>
    </row>
    <row r="99" spans="2:3">
      <c r="C99" t="s">
        <v>419</v>
      </c>
    </row>
  </sheetData>
  <mergeCells count="10">
    <mergeCell ref="R82:S82"/>
    <mergeCell ref="R86:S86"/>
    <mergeCell ref="W88:W90"/>
    <mergeCell ref="R91:S91"/>
    <mergeCell ref="B3:B9"/>
    <mergeCell ref="G12:H12"/>
    <mergeCell ref="G17:H17"/>
    <mergeCell ref="I58:J58"/>
    <mergeCell ref="I61:J61"/>
    <mergeCell ref="I62:J6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CFF</vt:lpstr>
      <vt:lpstr>CFF Clean Data</vt:lpstr>
      <vt:lpstr>python_impact</vt:lpstr>
      <vt:lpstr>python_distr</vt:lpstr>
      <vt:lpstr>A,R,Q Variables</vt:lpstr>
      <vt:lpstr>Case Study 1</vt:lpstr>
      <vt:lpstr>Case Study 2</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Suzana Ostojic</dc:creator>
  <cp:lastModifiedBy>Lozach  Lois (IfU, ESD)</cp:lastModifiedBy>
  <dcterms:created xsi:type="dcterms:W3CDTF">2025-01-20T15:46:05Z</dcterms:created>
  <dcterms:modified xsi:type="dcterms:W3CDTF">2025-03-17T13:20:23Z</dcterms:modified>
</cp:coreProperties>
</file>