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ostojic\Desktop\"/>
    </mc:Choice>
  </mc:AlternateContent>
  <xr:revisionPtr revIDLastSave="0" documentId="13_ncr:1_{18CEA79D-F4BE-4F9D-A811-F466DCD6E035}" xr6:coauthVersionLast="36" xr6:coauthVersionMax="47" xr10:uidLastSave="{00000000-0000-0000-0000-000000000000}"/>
  <bookViews>
    <workbookView xWindow="0" yWindow="0" windowWidth="28800" windowHeight="11925" tabRatio="697" activeTab="2" xr2:uid="{3204C202-7188-45B5-A184-A3CC4EC46C55}"/>
  </bookViews>
  <sheets>
    <sheet name="CFF" sheetId="1" r:id="rId1"/>
    <sheet name="CFF Clean Data" sheetId="6" r:id="rId2"/>
    <sheet name="python_impact" sheetId="7" r:id="rId3"/>
    <sheet name="python_distr" sheetId="8" r:id="rId4"/>
    <sheet name="A,R,Q Variables" sheetId="2" r:id="rId5"/>
    <sheet name="Case Study 1" sheetId="3" r:id="rId6"/>
    <sheet name="Case Study 2" sheetId="4" r:id="rId7"/>
    <sheet name="Calculations" sheetId="5" r:id="rId8"/>
  </sheets>
  <definedNames>
    <definedName name="_xlnm._FilterDatabase" localSheetId="6" hidden="1">'Case Study 2'!$B$135:$J$147</definedName>
    <definedName name="_xlnm._FilterDatabase" localSheetId="3" hidden="1">python_distr!$A$1:$G$43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1" i="7" l="1"/>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H21" i="7"/>
  <c r="H20" i="7"/>
  <c r="H19" i="7"/>
  <c r="H18" i="7"/>
  <c r="H41" i="7"/>
  <c r="H40" i="7"/>
  <c r="H39" i="7"/>
  <c r="H38" i="7"/>
  <c r="H36" i="7"/>
  <c r="H35" i="7"/>
  <c r="H34" i="7"/>
  <c r="H33" i="7"/>
  <c r="H31" i="7"/>
  <c r="H30" i="7"/>
  <c r="H29" i="7"/>
  <c r="H28" i="7"/>
  <c r="H26" i="7"/>
  <c r="H25" i="7"/>
  <c r="H24" i="7"/>
  <c r="H23" i="7"/>
  <c r="H16" i="7"/>
  <c r="H15" i="7"/>
  <c r="H14" i="7"/>
  <c r="H13" i="7"/>
  <c r="H11" i="7"/>
  <c r="H10" i="7"/>
  <c r="H9" i="7"/>
  <c r="H8" i="7"/>
  <c r="J2" i="7" l="1"/>
  <c r="I6" i="7" l="1"/>
  <c r="I5" i="7"/>
  <c r="I4" i="7"/>
  <c r="I3" i="7"/>
  <c r="I2" i="7"/>
  <c r="H6" i="7"/>
  <c r="H5" i="7"/>
  <c r="H4" i="7"/>
  <c r="H3" i="7"/>
  <c r="G6" i="7"/>
  <c r="G5" i="7"/>
  <c r="G4" i="7"/>
  <c r="G3" i="7"/>
  <c r="G2" i="7"/>
  <c r="K2" i="7" s="1"/>
  <c r="F6" i="7"/>
  <c r="F5" i="7"/>
  <c r="F4" i="7"/>
  <c r="F3" i="7"/>
  <c r="E4" i="7"/>
  <c r="E3" i="7"/>
  <c r="E6" i="7"/>
  <c r="E5" i="7"/>
  <c r="D3" i="8"/>
  <c r="D2" i="8"/>
  <c r="D6" i="7"/>
  <c r="D5" i="7"/>
  <c r="D4" i="7"/>
  <c r="D3" i="7"/>
  <c r="C6" i="7"/>
  <c r="C5" i="7"/>
  <c r="C4" i="7"/>
  <c r="C3" i="7"/>
  <c r="J3" i="7" s="1"/>
  <c r="D176" i="6"/>
  <c r="D182" i="6"/>
  <c r="D181" i="6"/>
  <c r="D180" i="6"/>
  <c r="D179" i="6"/>
  <c r="D178" i="6"/>
  <c r="D175" i="6"/>
  <c r="D174" i="6"/>
  <c r="D173" i="6"/>
  <c r="D172" i="6"/>
  <c r="D171" i="6"/>
  <c r="E34" i="3"/>
  <c r="E33" i="3"/>
  <c r="E32" i="3"/>
  <c r="E31" i="3"/>
  <c r="C33" i="3"/>
  <c r="C32" i="3"/>
  <c r="C31" i="3"/>
  <c r="J4" i="7" l="1"/>
  <c r="J5" i="7"/>
  <c r="J6" i="7"/>
  <c r="K4" i="7"/>
  <c r="K6" i="7"/>
  <c r="K3" i="7"/>
  <c r="K5" i="7"/>
  <c r="C60" i="4"/>
  <c r="C358" i="3"/>
  <c r="C361" i="3" s="1"/>
  <c r="C349" i="3"/>
  <c r="C348" i="3"/>
  <c r="C347" i="3"/>
  <c r="C346" i="3"/>
  <c r="C345" i="3"/>
  <c r="C341" i="3"/>
  <c r="C340" i="3"/>
  <c r="C343" i="3" s="1"/>
  <c r="C320" i="3"/>
  <c r="C315" i="3"/>
  <c r="C316" i="3" s="1"/>
  <c r="C314" i="3"/>
  <c r="C342" i="3" l="1"/>
  <c r="C360" i="3"/>
  <c r="C374" i="3"/>
  <c r="C376" i="3" s="1"/>
  <c r="C359" i="3"/>
  <c r="C368" i="3" s="1"/>
  <c r="C354" i="3"/>
  <c r="C353" i="3"/>
  <c r="C344" i="3"/>
  <c r="C352" i="3"/>
  <c r="C351" i="3"/>
  <c r="C319" i="3"/>
  <c r="C318" i="3"/>
  <c r="C362" i="3" l="1"/>
  <c r="C363" i="3"/>
  <c r="C364" i="3"/>
  <c r="C365" i="3"/>
  <c r="C367" i="3"/>
  <c r="C200" i="3" l="1"/>
  <c r="C280" i="3"/>
  <c r="C282" i="3"/>
  <c r="C279" i="3"/>
  <c r="C278" i="3"/>
  <c r="C190" i="3" l="1"/>
  <c r="C183" i="3"/>
  <c r="C182" i="3"/>
  <c r="T91" i="5"/>
  <c r="S74" i="5"/>
  <c r="T82" i="5" s="1"/>
  <c r="T86" i="5" s="1"/>
  <c r="S70" i="5"/>
  <c r="S78" i="5" s="1"/>
  <c r="K58" i="5"/>
  <c r="K62" i="5" s="1"/>
  <c r="I12" i="5"/>
  <c r="I17" i="5" s="1"/>
  <c r="H6" i="5"/>
  <c r="C41" i="3"/>
  <c r="C160" i="4"/>
  <c r="C159" i="4"/>
  <c r="C158" i="4"/>
  <c r="C162" i="4" l="1"/>
  <c r="C171" i="4" s="1"/>
  <c r="C177" i="4"/>
  <c r="C183" i="4" s="1"/>
  <c r="C185" i="4" s="1"/>
  <c r="C176" i="4"/>
  <c r="C173" i="4" l="1"/>
  <c r="C172" i="4"/>
  <c r="D131" i="4"/>
  <c r="D130" i="4"/>
  <c r="D129" i="4"/>
  <c r="D128" i="4"/>
  <c r="D127" i="4"/>
  <c r="D125" i="4"/>
  <c r="D124" i="4"/>
  <c r="D123" i="4"/>
  <c r="D122" i="4"/>
  <c r="D121" i="4"/>
  <c r="D120" i="4"/>
  <c r="C109" i="4"/>
  <c r="C108" i="4"/>
  <c r="C107" i="4"/>
  <c r="C106" i="4"/>
  <c r="C76" i="4"/>
  <c r="C75" i="4"/>
  <c r="C77" i="4"/>
  <c r="C74" i="4"/>
  <c r="C82" i="4" s="1"/>
  <c r="C86" i="4" s="1"/>
  <c r="C64" i="4"/>
  <c r="C92" i="4" s="1"/>
  <c r="C94" i="4" s="1"/>
  <c r="H64" i="4"/>
  <c r="H63" i="4"/>
  <c r="H62" i="4"/>
  <c r="C72" i="4"/>
  <c r="C61" i="4"/>
  <c r="C63" i="4"/>
  <c r="G29" i="4"/>
  <c r="C48" i="4"/>
  <c r="C51" i="4" s="1"/>
  <c r="C47" i="4"/>
  <c r="C46" i="4"/>
  <c r="C98" i="4" l="1"/>
  <c r="C114" i="4"/>
  <c r="C100" i="4"/>
  <c r="C50" i="4"/>
  <c r="C85" i="4"/>
  <c r="P21" i="1"/>
  <c r="P18" i="1"/>
  <c r="O23" i="1" s="1"/>
</calcChain>
</file>

<file path=xl/sharedStrings.xml><?xml version="1.0" encoding="utf-8"?>
<sst xmlns="http://schemas.openxmlformats.org/spreadsheetml/2006/main" count="1866" uniqueCount="836">
  <si>
    <t xml:space="preserve">Circular Footprint Formula </t>
  </si>
  <si>
    <t>Parameters:</t>
  </si>
  <si>
    <t>A</t>
  </si>
  <si>
    <r>
      <t>E</t>
    </r>
    <r>
      <rPr>
        <vertAlign val="subscript"/>
        <sz val="12"/>
        <color theme="1"/>
        <rFont val="Calibri"/>
        <family val="2"/>
        <scheme val="minor"/>
      </rPr>
      <t>rec</t>
    </r>
    <r>
      <rPr>
        <sz val="12"/>
        <color theme="1"/>
        <rFont val="Calibri"/>
        <family val="2"/>
        <scheme val="minor"/>
      </rPr>
      <t>, E</t>
    </r>
    <r>
      <rPr>
        <vertAlign val="subscript"/>
        <sz val="12"/>
        <color theme="1"/>
        <rFont val="Calibri"/>
        <family val="2"/>
        <scheme val="minor"/>
      </rPr>
      <t>recEoL</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D</t>
    </r>
  </si>
  <si>
    <r>
      <t>Qs</t>
    </r>
    <r>
      <rPr>
        <sz val="8"/>
        <color theme="1"/>
        <rFont val="Aptos Narrow (Textkörper)"/>
      </rPr>
      <t>in</t>
    </r>
  </si>
  <si>
    <r>
      <t>A, R</t>
    </r>
    <r>
      <rPr>
        <vertAlign val="subscript"/>
        <sz val="11"/>
        <color theme="1"/>
        <rFont val="Calibri"/>
        <family val="2"/>
        <scheme val="minor"/>
      </rPr>
      <t>1</t>
    </r>
    <r>
      <rPr>
        <sz val="12"/>
        <color theme="1"/>
        <rFont val="Calibri"/>
        <family val="2"/>
        <scheme val="minor"/>
      </rPr>
      <t>, R</t>
    </r>
    <r>
      <rPr>
        <vertAlign val="subscript"/>
        <sz val="11"/>
        <color theme="1"/>
        <rFont val="Calibri"/>
        <family val="2"/>
        <scheme val="minor"/>
      </rPr>
      <t>2</t>
    </r>
    <r>
      <rPr>
        <sz val="12"/>
        <color theme="1"/>
        <rFont val="Calibri"/>
        <family val="2"/>
        <scheme val="minor"/>
      </rPr>
      <t>, R</t>
    </r>
    <r>
      <rPr>
        <vertAlign val="subscript"/>
        <sz val="11"/>
        <color theme="1"/>
        <rFont val="Calibri"/>
        <family val="2"/>
        <scheme val="minor"/>
      </rPr>
      <t>3</t>
    </r>
    <r>
      <rPr>
        <sz val="12"/>
        <color theme="1"/>
        <rFont val="Calibri"/>
        <family val="2"/>
        <scheme val="minor"/>
      </rPr>
      <t>, Qs</t>
    </r>
    <r>
      <rPr>
        <vertAlign val="subscript"/>
        <sz val="11"/>
        <color theme="1"/>
        <rFont val="Calibri"/>
        <family val="2"/>
        <scheme val="minor"/>
      </rPr>
      <t>in</t>
    </r>
    <r>
      <rPr>
        <sz val="12"/>
        <color theme="1"/>
        <rFont val="Calibri"/>
        <family val="2"/>
        <scheme val="minor"/>
      </rPr>
      <t>, Qs</t>
    </r>
    <r>
      <rPr>
        <vertAlign val="subscript"/>
        <sz val="11"/>
        <color theme="1"/>
        <rFont val="Calibri"/>
        <family val="2"/>
        <scheme val="minor"/>
      </rPr>
      <t>out</t>
    </r>
    <r>
      <rPr>
        <sz val="12"/>
        <color theme="1"/>
        <rFont val="Calibri"/>
        <family val="2"/>
        <scheme val="minor"/>
      </rPr>
      <t>, Q</t>
    </r>
    <r>
      <rPr>
        <vertAlign val="subscript"/>
        <sz val="11"/>
        <color theme="1"/>
        <rFont val="Calibri"/>
        <family val="2"/>
        <scheme val="minor"/>
      </rPr>
      <t>p</t>
    </r>
  </si>
  <si>
    <r>
      <t>Qs</t>
    </r>
    <r>
      <rPr>
        <sz val="8"/>
        <color theme="1"/>
        <rFont val="Aptos Narrow (Textkörper)"/>
      </rPr>
      <t>out</t>
    </r>
  </si>
  <si>
    <t>Qp</t>
  </si>
  <si>
    <r>
      <t>R</t>
    </r>
    <r>
      <rPr>
        <sz val="8"/>
        <color theme="1"/>
        <rFont val="Aptos Narrow (Textkörper)"/>
      </rPr>
      <t>1</t>
    </r>
  </si>
  <si>
    <r>
      <t>R</t>
    </r>
    <r>
      <rPr>
        <sz val="8"/>
        <color theme="1"/>
        <rFont val="Aptos Narrow (Textkörper)"/>
      </rPr>
      <t>2</t>
    </r>
  </si>
  <si>
    <r>
      <t>E</t>
    </r>
    <r>
      <rPr>
        <sz val="8"/>
        <color theme="1"/>
        <rFont val="Aptos Narrow (Textkörper)"/>
      </rPr>
      <t>rec</t>
    </r>
  </si>
  <si>
    <r>
      <t>E</t>
    </r>
    <r>
      <rPr>
        <sz val="8"/>
        <color theme="1"/>
        <rFont val="Aptos Narrow (Textkörper)"/>
      </rPr>
      <t>recEoL</t>
    </r>
  </si>
  <si>
    <r>
      <t>E</t>
    </r>
    <r>
      <rPr>
        <sz val="8"/>
        <color theme="1"/>
        <rFont val="Aptos Narrow (Textkörper)"/>
      </rPr>
      <t>v</t>
    </r>
  </si>
  <si>
    <r>
      <t>E*</t>
    </r>
    <r>
      <rPr>
        <sz val="8"/>
        <color theme="1"/>
        <rFont val="Aptos Narrow (Textkörper)"/>
      </rPr>
      <t>v</t>
    </r>
  </si>
  <si>
    <r>
      <t>E</t>
    </r>
    <r>
      <rPr>
        <sz val="8"/>
        <color theme="1"/>
        <rFont val="Aptos Narrow (Textkörper)"/>
      </rPr>
      <t>D</t>
    </r>
  </si>
  <si>
    <t>Material:</t>
  </si>
  <si>
    <r>
      <t>(1 - R</t>
    </r>
    <r>
      <rPr>
        <sz val="8"/>
        <color theme="1"/>
        <rFont val="Aptos Narrow (Textkörper)"/>
      </rPr>
      <t>1</t>
    </r>
    <r>
      <rPr>
        <sz val="11"/>
        <color theme="1"/>
        <rFont val="Calibri"/>
        <family val="2"/>
        <scheme val="minor"/>
      </rPr>
      <t>)E</t>
    </r>
    <r>
      <rPr>
        <sz val="8"/>
        <color theme="1"/>
        <rFont val="Aptos Narrow (Textkörper)"/>
      </rPr>
      <t>v</t>
    </r>
    <r>
      <rPr>
        <sz val="11"/>
        <color theme="1"/>
        <rFont val="Calibri"/>
        <family val="2"/>
        <scheme val="minor"/>
      </rPr>
      <t xml:space="preserve"> + R</t>
    </r>
    <r>
      <rPr>
        <sz val="8"/>
        <color theme="1"/>
        <rFont val="Aptos Narrow (Textkörper)"/>
      </rPr>
      <t xml:space="preserve">1 </t>
    </r>
    <r>
      <rPr>
        <sz val="11"/>
        <color theme="1"/>
        <rFont val="Calibri"/>
        <family val="2"/>
        <scheme val="minor"/>
      </rPr>
      <t>x (AE</t>
    </r>
    <r>
      <rPr>
        <sz val="8"/>
        <color theme="1"/>
        <rFont val="Aptos Narrow (Textkörper)"/>
      </rPr>
      <t>recycled</t>
    </r>
    <r>
      <rPr>
        <sz val="11"/>
        <color theme="1"/>
        <rFont val="Calibri"/>
        <family val="2"/>
        <scheme val="minor"/>
      </rPr>
      <t xml:space="preserve"> + (1 - A)E</t>
    </r>
    <r>
      <rPr>
        <sz val="8"/>
        <color theme="1"/>
        <rFont val="Aptos Narrow (Textkörper)"/>
      </rPr>
      <t>v</t>
    </r>
    <r>
      <rPr>
        <sz val="11"/>
        <color theme="1"/>
        <rFont val="Calibri"/>
        <family val="2"/>
        <scheme val="minor"/>
      </rPr>
      <t xml:space="preserve"> x Qs</t>
    </r>
    <r>
      <rPr>
        <sz val="8"/>
        <color theme="1"/>
        <rFont val="Aptos Narrow (Textkörper)"/>
      </rPr>
      <t>in</t>
    </r>
    <r>
      <rPr>
        <sz val="11"/>
        <color theme="1"/>
        <rFont val="Calibri"/>
        <family val="2"/>
        <scheme val="minor"/>
      </rPr>
      <t>/Qp) + (1 - A)R</t>
    </r>
    <r>
      <rPr>
        <sz val="8"/>
        <color theme="1"/>
        <rFont val="Aptos Narrow (Textkörper)"/>
      </rPr>
      <t>2</t>
    </r>
    <r>
      <rPr>
        <sz val="11"/>
        <color theme="1"/>
        <rFont val="Calibri"/>
        <family val="2"/>
        <scheme val="minor"/>
      </rPr>
      <t xml:space="preserve"> x (E</t>
    </r>
    <r>
      <rPr>
        <sz val="8"/>
        <color theme="1"/>
        <rFont val="Aptos Narrow (Textkörper)"/>
      </rPr>
      <t>recyclingEoL</t>
    </r>
    <r>
      <rPr>
        <sz val="11"/>
        <color theme="1"/>
        <rFont val="Calibri"/>
        <family val="2"/>
        <scheme val="minor"/>
      </rPr>
      <t xml:space="preserve"> - E*</t>
    </r>
    <r>
      <rPr>
        <sz val="8"/>
        <color theme="1"/>
        <rFont val="Aptos Narrow (Textkörper)"/>
      </rPr>
      <t>v</t>
    </r>
    <r>
      <rPr>
        <sz val="11"/>
        <color theme="1"/>
        <rFont val="Calibri"/>
        <family val="2"/>
        <scheme val="minor"/>
      </rPr>
      <t xml:space="preserve"> x Qs</t>
    </r>
    <r>
      <rPr>
        <sz val="8"/>
        <color theme="1"/>
        <rFont val="Aptos Narrow (Textkörper)"/>
      </rPr>
      <t>out</t>
    </r>
    <r>
      <rPr>
        <sz val="11"/>
        <color theme="1"/>
        <rFont val="Calibri"/>
        <family val="2"/>
        <scheme val="minor"/>
      </rPr>
      <t>/Qp)</t>
    </r>
  </si>
  <si>
    <t>Disposal:</t>
  </si>
  <si>
    <r>
      <t>(1 - R</t>
    </r>
    <r>
      <rPr>
        <sz val="8"/>
        <color theme="1"/>
        <rFont val="Aptos Narrow (Textkörper)"/>
      </rPr>
      <t>2</t>
    </r>
    <r>
      <rPr>
        <sz val="11"/>
        <color theme="1"/>
        <rFont val="Calibri"/>
        <family val="2"/>
        <scheme val="minor"/>
      </rPr>
      <t>) x E</t>
    </r>
    <r>
      <rPr>
        <sz val="8"/>
        <color theme="1"/>
        <rFont val="Aptos Narrow (Textkörper)"/>
      </rPr>
      <t>D</t>
    </r>
  </si>
  <si>
    <t>CFF:</t>
  </si>
  <si>
    <t xml:space="preserve">LCA parameters </t>
  </si>
  <si>
    <t>CFF Variables</t>
  </si>
  <si>
    <t>Reference</t>
  </si>
  <si>
    <t xml:space="preserve">https://eur-lex.europa.eu/legal-content/EN/TXT/PDF/?uri=CELEX:32021H2279 </t>
  </si>
  <si>
    <t>Determination of parameters according to PEF Guide</t>
  </si>
  <si>
    <t>Defined Range</t>
  </si>
  <si>
    <t>A=0,2:</t>
  </si>
  <si>
    <t>Low offer of recyclable materials and high demand: the forumula focus on recyclability at End-of-Life</t>
  </si>
  <si>
    <t>A=0,8:</t>
  </si>
  <si>
    <t>High offer of recyclable materials and low demand: the formula focus on recycled content</t>
  </si>
  <si>
    <t>A=0,5:</t>
  </si>
  <si>
    <t>Equilibrium between offer and demand: the formula focuses both on recyclability at EoL and recycled content</t>
  </si>
  <si>
    <t>Steps to follow</t>
  </si>
  <si>
    <t>Step 1</t>
  </si>
  <si>
    <t>Step 2</t>
  </si>
  <si>
    <t>Step 3</t>
  </si>
  <si>
    <t>Annex C</t>
  </si>
  <si>
    <t>application specific A value</t>
  </si>
  <si>
    <t>material specific A value</t>
  </si>
  <si>
    <t>A value shall be set equal to 0,5</t>
  </si>
  <si>
    <t xml:space="preserve">A-Factor: </t>
  </si>
  <si>
    <t>Allocation factor of burdens and credits between supplier and user of recycled materials</t>
  </si>
  <si>
    <t>0,2 ≤ A ≤ 0,8</t>
  </si>
  <si>
    <t xml:space="preserve">R-Factor - R1: </t>
  </si>
  <si>
    <t>The proportion of material in the input to the production that has been recycled from a previous system</t>
  </si>
  <si>
    <t>material-specific values based on supply market statistics are not accepted</t>
  </si>
  <si>
    <t>company-specific values in relation with DNM</t>
  </si>
  <si>
    <t>R1 shall be set equal to 0%</t>
  </si>
  <si>
    <t xml:space="preserve">R-Factor - R2: </t>
  </si>
  <si>
    <t>The proportion of the material in the product that will be recycled (or reused) in a subsequent system. R2 shall therefore take into account the inefficiencies in the collection and recycling (or reuse) processes. R2 shall be measured at the output of the recycling plant.</t>
  </si>
  <si>
    <t>Step 4</t>
  </si>
  <si>
    <t>Step 5</t>
  </si>
  <si>
    <t>Company-specific values</t>
  </si>
  <si>
    <t>application-specific R2 value for specific country</t>
  </si>
  <si>
    <t>application-specific value with European average</t>
  </si>
  <si>
    <t>R2 values of material (e.g. materials average)</t>
  </si>
  <si>
    <t>R2 shall be set equal to 0% or new statistics may be generated in order to assign value in specific situation</t>
  </si>
  <si>
    <t xml:space="preserve">Q-Factor: </t>
  </si>
  <si>
    <t>Q: The quality factors are there to capture downcycling of a material compared to the original primary material and, in some cases, may capture the effect of multiple recycling loops.
Qsin: Quality of the ingoing secondary material, i.e. the quality of the recycled material at the point of substitution
Qsout: Quality of the outgoing secondary material, i.e. the quality of the recyclable material at the point of substitution
Qp: Quality of the primary material, i.e. quality of the virgin material
Qsin/Qp: Ratio associated to the associated to the recycled content
Qsout/Qp: Ratio associated to recyclability at EoL</t>
  </si>
  <si>
    <t>if E*v=Ev: two quality ratios are needed: Qsin/Qp associated to the recycled content, and Qsout/Qp associated to recyclability at EoL</t>
  </si>
  <si>
    <t>if E*v≠Ev: one quality ratio is needed:  Qsin/Qp associated to the recycled content</t>
  </si>
  <si>
    <t>application or material specific based on economic aspects: i.e. price ratio of secondary compared to primary materials at the point of substitution. If the price of secondary materials is higher than that of primary ones, the quality ratios shall be set equal to 1</t>
  </si>
  <si>
    <t>application or material specific based on pysical aspects when economic are less relevant</t>
  </si>
  <si>
    <t xml:space="preserve">Only for packaging material: Annex C: Default Value </t>
  </si>
  <si>
    <t>Case Study 1: Automotive Cross Car Beam</t>
  </si>
  <si>
    <t>Composite MM4R cross car beam (CCB)</t>
  </si>
  <si>
    <t>Material</t>
  </si>
  <si>
    <t>Quantity</t>
  </si>
  <si>
    <t>Aluminum (low cuttings – 20%)</t>
  </si>
  <si>
    <t>3,378 kg</t>
  </si>
  <si>
    <t>Aluminum (high cuttings – 50%)</t>
  </si>
  <si>
    <t>1,772 kg</t>
  </si>
  <si>
    <t>Steel (high cuttings – 50%)</t>
  </si>
  <si>
    <t>0,248 kg</t>
  </si>
  <si>
    <t>Organo Sheet (GF/ PP)</t>
  </si>
  <si>
    <t>Hollow Profile (GF/ PP)</t>
  </si>
  <si>
    <t>Moulding Granuate (GF/ PP)</t>
  </si>
  <si>
    <t>LCA Values:</t>
  </si>
  <si>
    <r>
      <t>E</t>
    </r>
    <r>
      <rPr>
        <vertAlign val="subscript"/>
        <sz val="11"/>
        <color theme="1"/>
        <rFont val="Calibri"/>
        <family val="2"/>
        <scheme val="minor"/>
      </rPr>
      <t>rec</t>
    </r>
    <r>
      <rPr>
        <sz val="11"/>
        <color theme="1"/>
        <rFont val="Calibri"/>
        <family val="2"/>
        <scheme val="minor"/>
      </rPr>
      <t>; E</t>
    </r>
    <r>
      <rPr>
        <vertAlign val="subscript"/>
        <sz val="11"/>
        <color theme="1"/>
        <rFont val="Calibri"/>
        <family val="2"/>
        <scheme val="minor"/>
      </rPr>
      <t>recEoL</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D</t>
    </r>
  </si>
  <si>
    <t>Impact Value</t>
  </si>
  <si>
    <t xml:space="preserve">Assumption/ Background </t>
  </si>
  <si>
    <t>ErecEoL</t>
  </si>
  <si>
    <r>
      <t>E</t>
    </r>
    <r>
      <rPr>
        <vertAlign val="subscript"/>
        <sz val="11"/>
        <color theme="1"/>
        <rFont val="Calibri"/>
        <family val="2"/>
        <scheme val="minor"/>
      </rPr>
      <t xml:space="preserve">rec </t>
    </r>
  </si>
  <si>
    <r>
      <rPr>
        <sz val="7"/>
        <color theme="1"/>
        <rFont val="Times New Roman"/>
        <family val="1"/>
      </rPr>
      <t xml:space="preserve"> </t>
    </r>
    <r>
      <rPr>
        <sz val="11"/>
        <color theme="1"/>
        <rFont val="Calibri"/>
        <family val="2"/>
        <scheme val="minor"/>
      </rPr>
      <t>E</t>
    </r>
    <r>
      <rPr>
        <vertAlign val="subscript"/>
        <sz val="11"/>
        <color theme="1"/>
        <rFont val="Calibri"/>
        <family val="2"/>
        <scheme val="minor"/>
      </rPr>
      <t xml:space="preserve">recEoL </t>
    </r>
    <r>
      <rPr>
        <sz val="11"/>
        <color theme="1"/>
        <rFont val="Calibri"/>
        <family val="2"/>
        <scheme val="minor"/>
      </rPr>
      <t>&amp;</t>
    </r>
    <r>
      <rPr>
        <vertAlign val="subscript"/>
        <sz val="11"/>
        <color theme="1"/>
        <rFont val="Calibri"/>
        <family val="2"/>
        <scheme val="minor"/>
      </rPr>
      <t xml:space="preserve"> </t>
    </r>
    <r>
      <rPr>
        <sz val="11"/>
        <color theme="1"/>
        <rFont val="Calibri"/>
        <family val="2"/>
        <scheme val="minor"/>
      </rPr>
      <t>E</t>
    </r>
    <r>
      <rPr>
        <vertAlign val="subscript"/>
        <sz val="11"/>
        <color theme="1"/>
        <rFont val="Calibri"/>
        <family val="2"/>
        <scheme val="minor"/>
      </rPr>
      <t>D</t>
    </r>
    <r>
      <rPr>
        <sz val="8"/>
        <color theme="1"/>
        <rFont val="Calibri"/>
        <family val="2"/>
        <scheme val="minor"/>
      </rPr>
      <t> </t>
    </r>
  </si>
  <si>
    <t>•	95% of Aluminium and steel gets recycled at the EoL and 5% is landfilled/ disposed
•	Aluminium recycling processes involve several steps: 
1.	Collection and Sorting from other materials
2.	Shredding and Crushing:
Aluminium scrap is shredded into small pieces to improve energy efficiency during melting and enhance the quality of the final product.
3.	Decoating
4.	Melting and Refining:
The shredded pieces are melted in furnaces at approximately 750 °C. During the melting process, remaining impurities are removed, and alloying elements are added if necessary to enhance the metal's properties.
5.	Casting
•	Furnace Types Used in the Melting Process:
1.	Rotary Furnaces:
These furnaces are particularly suitable for scrap with high levels of impurities. The material is melted under a layer of salt, which prevents oxidation and binds impurities.
2.	Induction Furnaces:
Often used for melting clean, sorted aluminum scrap, induction furnaces offer precise temperature control and are energy-efficient. The choice of furnace depends on the characteristics of the aluminum scrap being recycled. For heavily contaminated scrap, rotary furnaces are often the most effective solution, while clean scrap is better suited for induction furnaces. --&gt; The rotary furnace is the better choice for recycling the CCB made of magnesium-manganese-aluminum alloy, especially if the component originates from automotive use and contains impurities or coatings.</t>
  </si>
  <si>
    <t>Ev = E*V</t>
  </si>
  <si>
    <t>Considering a case study of using the CFF to calculate the impacts of an automotive component at the EoL in an LCA. The component consists of aluminum and steel, and is recycled at the EoL. The Ev is the impact of the virgin raw material production, so the impact of aluminum sheet and steel sheet production. Currently, the component production is only using primary aluminum. From a technical point of view 70% of the primary aluminum could be substituted with secondary aluminum due to mechanical properties of the component and secondary aluminum. Considering the CFF application, in this case Ev = E*v as aluminum and steel are recycled, obtaining secondary aluminum and steel which is used to substitute primary aluminum/ steel. It just cannot substitute 100% of the primary aluminum/steel due to quality downgrading. Yet, this is considered through the parameter Q.</t>
  </si>
  <si>
    <t>Reference/ Assumption</t>
  </si>
  <si>
    <t>Blue Shark 16.13 https://www.zatoshredder.de/metall-hammermuhlen/ 
=900*3,6/((4+60)/2)/1000</t>
  </si>
  <si>
    <t>MF1716 https://www.franzoisrl.com/de/metall-shredder-mrf1716/index.html
=1110*3,6/((18+35)/2)/1000</t>
  </si>
  <si>
    <t>Average</t>
  </si>
  <si>
    <t>LCI:  ErecEoL &amp; ED </t>
  </si>
  <si>
    <t>Literature Research Energy Demand Rotary Furnance Melting Process</t>
  </si>
  <si>
    <t>Energy Demand Rotary Furnace [MJ/kg]</t>
  </si>
  <si>
    <t>Bloemen 2017 (gie_05_2017.pdf)
Der Energiebedarf variiert zwischen 400 und 800 kWh/t Legierung“. --&gt; 400*3,6/1000= 1,44 MJ/kg</t>
  </si>
  <si>
    <t>Bloemen 2017 (gie_05_2017.pdf)
800*3,6/1000= 2,88 MJ/kg</t>
  </si>
  <si>
    <t>Literature Research Energy Demand Alu-Sheet &amp; St-Sheet Shredding</t>
  </si>
  <si>
    <t>Energy Demand Shredding Al-/St-Sheet Scarp [MJ/kg]</t>
  </si>
  <si>
    <t>Literature Research Energy Demand St-Sheet Recycling</t>
  </si>
  <si>
    <t>Energy Demand St-Sheet Recycling [MJ/kg]</t>
  </si>
  <si>
    <t>Tapper 2020 https://www.sciencedirect.com/science/article/pii/S1359836819325405?via%3Dihub</t>
  </si>
  <si>
    <t>Input</t>
  </si>
  <si>
    <t>GaBi Process</t>
  </si>
  <si>
    <t>Al-sheet (low cuttings – 20%) for Recycling</t>
  </si>
  <si>
    <t>n/a</t>
  </si>
  <si>
    <t>Al-sheet (low cuttings – 20%) for Landfilling</t>
  </si>
  <si>
    <t>EU: Ferro metals on landfill (best fitting GaBi Process from the available ones)</t>
  </si>
  <si>
    <t>Low cuttings Aluminum for recycling (considering 95% efficiency) (Primary Data MM4R Project)</t>
  </si>
  <si>
    <t>Low cuttings Aluminum for landfill (considering 95% efficiency) (Secondary Data from GaBi )</t>
  </si>
  <si>
    <t>Shredding and Melting Literature Data (3,851*(0,126 + 2,16))</t>
  </si>
  <si>
    <t>DE: Electricity Grid Mix</t>
  </si>
  <si>
    <t>Sodium Chloride</t>
  </si>
  <si>
    <t>Electricity for low cuttings Al-Sheet Recycling</t>
  </si>
  <si>
    <t>DE: Sodium chloride (rock salt) Sphera [Inorganic intermediate products]</t>
  </si>
  <si>
    <t>Water</t>
  </si>
  <si>
    <t>0,0102 m3/kg (Literature value from Förtsch 2023)</t>
  </si>
  <si>
    <t>EU-28: Water (deionised) Sphera</t>
  </si>
  <si>
    <t>Al-sheet (high cuttings – 50%) for Recycling</t>
  </si>
  <si>
    <t>High cuttings Aluminum for recycling (considering 95% efficiency) (Primary Data MM4R Project)</t>
  </si>
  <si>
    <t>Al-sheet (high cuttings – 50%) for Landfilling</t>
  </si>
  <si>
    <t>High cuttings Aluminum for landfill (considering 95% efficiency) (Secondary Data from GaBi)</t>
  </si>
  <si>
    <t>Electricity for high cuttings Al-Sheet Recycling</t>
  </si>
  <si>
    <t xml:space="preserve">0,038 kg/ kg Alu (Capuzzi 2017 + Assumption 5% contamination material) 0,05/1,3= 0,038 kg Salz/kg Alu (https://www.research.unipd.it/handle/11577/3422890) </t>
  </si>
  <si>
    <t>Output</t>
  </si>
  <si>
    <t>Recycled Al-sheet (low cuttings – 20%)</t>
  </si>
  <si>
    <t>95 % recycled &amp; 5% landfilled</t>
  </si>
  <si>
    <t>Landfilled Al-sheet (low cuttings – 20%)</t>
  </si>
  <si>
    <t>Recycled Al-sheet (high cuttings – 50%)</t>
  </si>
  <si>
    <t>Landfilled Al-sheet (high cuttings – 50%)</t>
  </si>
  <si>
    <t>St-sheet (high cuttings – 50%) for Recycling</t>
  </si>
  <si>
    <t>St-sheet (high cuttings – 50%) for Landfilling</t>
  </si>
  <si>
    <t>Electricity for high cuttings St-Sheet Recycling</t>
  </si>
  <si>
    <t>High cuttings St for landfill (considering 95% efficiency) (Secondary Data from GaBi)</t>
  </si>
  <si>
    <t>High cuttings St for recycling (considering 95% efficiency) (Primary Data MM4R Project)</t>
  </si>
  <si>
    <t>Lime</t>
  </si>
  <si>
    <t>0,03668 kg/kg (Yang et al. ,2023 https://www.sciencedirect.com/science/article/pii/S2214993722001786?casa_token=NFKJ-BzazrQAAAAA:QehUmUfF-5yBYtdH59NDsJvZNbJayjahxHwaYPmfFTnHhv5d5o6LVxWURqh3XrtB6h2e6wos 50% hot metal ratio in the furnance)</t>
  </si>
  <si>
    <t>DE: Lime (CaO; finelime) (EN15804 A1-A3) Sphera</t>
  </si>
  <si>
    <t>Coal</t>
  </si>
  <si>
    <t>0,002 kg/ kg (Literature value from Friedl 1999)</t>
  </si>
  <si>
    <t>DE: Hard coal mix Sphera</t>
  </si>
  <si>
    <t>Carbon</t>
  </si>
  <si>
    <t>0,00084 kg/kg (Yang et al., 2023 https://www.sciencedirect.com/science/article/pii/S2214993722001786?casa_token=NFKJ-BzazrQAAAAA:QehUmUfF-5yBYtdH59NDsJvZNbJayjahxHwaYPmfFTnHhv5d5o6LVxWURqh3XrtB6h2e6wos 50% hot metal ratio in the furnance)</t>
  </si>
  <si>
    <t>Carbon black (furnace black; general purpose) (economic allocation)</t>
  </si>
  <si>
    <t>Oxygen</t>
  </si>
  <si>
    <t>0,04463 kg/kg (Yang et al., 2023 https://www.sciencedirect.com/science/article/pii/S2214993722001786?casa_token=NFKJ-BzazrQAAAAA:QehUmUfF-5yBYtdH59NDsJvZNbJayjahxHwaYPmfFTnHhv5d5o6LVxWURqh3XrtB6h2e6wos 50% hot metal ratio in the furnance))</t>
  </si>
  <si>
    <t xml:space="preserve">DE: Oxygen (gaseous) Sphera </t>
  </si>
  <si>
    <t>0,06280 kg/kg (Yang et al., 2023) https://www.sciencedirect.com/science/article/pii/S2214993722001786?casa_token=NFKJ-BzazrQAAAAA:QehUmUfF-5yBYtdH59NDsJvZNbJayjahxHwaYPmfFTnHhv5d5o6LVxWURqh3XrtB6h2e6wos</t>
  </si>
  <si>
    <t>Recycled St-sheet (high cuttings – 50%)</t>
  </si>
  <si>
    <t>Landfilled St-sheet (high cuttings – 50%)</t>
  </si>
  <si>
    <t>4,0536 kg</t>
  </si>
  <si>
    <t>DE: Aluminium sheet mix Sphera</t>
  </si>
  <si>
    <t>2,658 kg</t>
  </si>
  <si>
    <t>Production Al-Sheet (low cuttings – 20%)</t>
  </si>
  <si>
    <t>Production Al-Sheet (high cuttings – 50%)</t>
  </si>
  <si>
    <t>Primary mass quantity data from MM4R Project (secondary GaBi process)</t>
  </si>
  <si>
    <t>Al-sheet (high cuttings – 50%)</t>
  </si>
  <si>
    <t>Al-sheet (low cuttings – 20%)</t>
  </si>
  <si>
    <t>Production St-Sheet (high cuttings – 50%)</t>
  </si>
  <si>
    <t>St-sheet (high cuttings – 50%)</t>
  </si>
  <si>
    <t xml:space="preserve">DE: Steel cold rolled coil &lt;1,5mm Sphera </t>
  </si>
  <si>
    <t>0,372 kg</t>
  </si>
  <si>
    <t>LCI:  Ev = E*V</t>
  </si>
  <si>
    <t>Impact Category</t>
  </si>
  <si>
    <t>CML2001 - Aug. 2016, Abiotic Depletion (ADP elements) [kg Sb eq.]</t>
  </si>
  <si>
    <t>CML2001 - Aug. 2016, Abiotic Depletion (ADP fossil) [MJ]</t>
  </si>
  <si>
    <t>CML2001 - Aug. 2016, Acidification Potential (AP) [kg SO2 eq.]</t>
  </si>
  <si>
    <t>CML2001 - Aug. 2016, Eutrophication Potential (EP) [kg Phosphate eq.]</t>
  </si>
  <si>
    <t>CML2001 - Aug. 2016, Freshwater Aquatic Ecotoxicity Pot. (FAETP inf.) [kg DCB eq.]</t>
  </si>
  <si>
    <t>CML2001 - Aug. 2016, Global Warming Potential (GWP 100 years) [kg CO2 eq.]</t>
  </si>
  <si>
    <t>CML2001 - Aug. 2016, Global Warming Potential (GWP 100 years), excl biogenic carbon [kg CO2 eq.]</t>
  </si>
  <si>
    <t>CML2001 - Aug. 2016, Human Toxicity Potential (HTP inf.) [kg DCB eq.]</t>
  </si>
  <si>
    <t>CML2001 - Aug. 2016, Marine Aquatic Ecotoxicity Pot. (MAETP inf.) [kg DCB eq.]</t>
  </si>
  <si>
    <t>CML2001 - Aug. 2016, Ozone Layer Depletion Potential (ODP, steady state) [kg R11 eq.]</t>
  </si>
  <si>
    <t>CML2001 - Aug. 2016, Photochem. Ozone Creation Potential (POCP) [kg Ethene eq.]</t>
  </si>
  <si>
    <t>CML2001 - Aug. 2016, Terrestric Ecotoxicity Potential (TETP inf.) [kg DCB eq.]</t>
  </si>
  <si>
    <t>ED</t>
  </si>
  <si>
    <t>LCIA:  ErecEoL &amp; ED &amp; Ev=E*V</t>
  </si>
  <si>
    <t>Ev=E*V</t>
  </si>
  <si>
    <t>CFF Variables:</t>
  </si>
  <si>
    <t>Variable</t>
  </si>
  <si>
    <t>R1</t>
  </si>
  <si>
    <t>R2</t>
  </si>
  <si>
    <t>QP</t>
  </si>
  <si>
    <t>Qsin</t>
  </si>
  <si>
    <t>Qsout</t>
  </si>
  <si>
    <t>Aluminum/ Steel Reference CCB</t>
  </si>
  <si>
    <t>application-specific R1 value</t>
  </si>
  <si>
    <t>A; R1; R2; Qsin; Qout; Qp</t>
  </si>
  <si>
    <t>Al-Sheet Component Part</t>
  </si>
  <si>
    <t>Decision Range</t>
  </si>
  <si>
    <t xml:space="preserve">Reference/ Justification </t>
  </si>
  <si>
    <t>Check in Annex C the availability of an application specific A value: A value of 0,2 was identified</t>
  </si>
  <si>
    <t>Company specific value (primary project data) &amp; application specific value from Annex C</t>
  </si>
  <si>
    <t>Check in Annex C the availability of application-specific value: Yes, a value of 0,9 was identified</t>
  </si>
  <si>
    <t>Check in Annex C the availability of an application specific A value: No, value doesn't exists in Annex C</t>
  </si>
  <si>
    <t>Check in Annex C the availability of a material specific A value: A value of 0,2 was identified</t>
  </si>
  <si>
    <t>Literature</t>
  </si>
  <si>
    <t>Material Specific Value from Annex C, market research literature</t>
  </si>
  <si>
    <t>St-Sheet Component Part</t>
  </si>
  <si>
    <t>Check in Annex C the availability of an application specific R1 value: R1 value of 0 was identified</t>
  </si>
  <si>
    <t>Check in Annex C the availability of an application specific R1 value: No, value doesn't exist in Annex C</t>
  </si>
  <si>
    <t>Company specific value (primary project data)</t>
  </si>
  <si>
    <t>Check in Annex C the availability of application-specific value: No, value doesn't exist</t>
  </si>
  <si>
    <t>Prescribed value from Annex C, market research literature</t>
  </si>
  <si>
    <t>Case Study 2: CRC industrial floor</t>
  </si>
  <si>
    <t>Composite Industrial floor (1m3)</t>
  </si>
  <si>
    <t>Reference Industrial Floor (1m3)</t>
  </si>
  <si>
    <t>Crushed concrete 2/4 (Aggregates consist of 80% recycled concrete (2/4) and 20% gravel)</t>
  </si>
  <si>
    <t>Aggregates (gravel) (Aggregates consist of 80% recycled concrete (2/4) and 20% gravel)</t>
  </si>
  <si>
    <t xml:space="preserve">CEM III A, 42.5 R </t>
  </si>
  <si>
    <t>Fly ash</t>
  </si>
  <si>
    <t>Tap water</t>
  </si>
  <si>
    <t>Superplasticizer (PCE basis [3.5 M-% of cement] )</t>
  </si>
  <si>
    <t>Composite Industrial Floor</t>
  </si>
  <si>
    <t>Shredding and Melting Literature Data (1,6834*(0,126 + 2,16))</t>
  </si>
  <si>
    <t>St-Sheet: Mass (raw material) = 0,372 kg (high cuttings); Mass (recycled) = 0,2356 kg (high cuttings); Mass (landfilled) =  0,0124 kg (high cuttings)</t>
  </si>
  <si>
    <t>Al-Sheet: Mass (raw material) = 4,0536 kg (low cuttings) &amp; 2,658 kg (high cuttings); Mass (recycled) = 3,2091 kg (low cuttings) &amp; 1,6834 kg (high cuttings); Mass (landfilled) = 0,169 kg (low cuttings) &amp; 0,0886 kg (high cuttings)</t>
  </si>
  <si>
    <t>3,2091 kg</t>
  </si>
  <si>
    <t>0,169 kg</t>
  </si>
  <si>
    <t>7,336 MJ</t>
  </si>
  <si>
    <t xml:space="preserve">0,122 kg </t>
  </si>
  <si>
    <t>0,0327 m3= 32,7 kg</t>
  </si>
  <si>
    <t>1,6834 kg</t>
  </si>
  <si>
    <t>0,0886 kg</t>
  </si>
  <si>
    <t>3,848 kg</t>
  </si>
  <si>
    <t>0,064 kg</t>
  </si>
  <si>
    <t>0,0172 m3 = 17,2 kg</t>
  </si>
  <si>
    <t xml:space="preserve"> 0,0886 kg</t>
  </si>
  <si>
    <t>0,2356 kg</t>
  </si>
  <si>
    <t>0,0124 kg</t>
  </si>
  <si>
    <t>3,7286 MJ</t>
  </si>
  <si>
    <t>0,0086 kg</t>
  </si>
  <si>
    <t>0,000198 kg</t>
  </si>
  <si>
    <t>0,0105 kg</t>
  </si>
  <si>
    <t>0,0148 kg</t>
  </si>
  <si>
    <t>0,000471 kg</t>
  </si>
  <si>
    <t>Shredding and Melting Literature Data (0,2356*(0,126 + 15,7))</t>
  </si>
  <si>
    <t>CEM I 42,5 R</t>
  </si>
  <si>
    <t>Aggregate (gravel)</t>
  </si>
  <si>
    <t>LCI:  Erec (Impact of the recycling process of the recycled (reused) material)</t>
  </si>
  <si>
    <t>Recycled Crushed Concrete (Input)</t>
  </si>
  <si>
    <t>Recycled Aggregate Concrete (Input)</t>
  </si>
  <si>
    <t>Recycled Carbon Fibers</t>
  </si>
  <si>
    <t>Luthin 2023</t>
  </si>
  <si>
    <t>Quantity [kg]</t>
  </si>
  <si>
    <t>Recycled CRC Scarp</t>
  </si>
  <si>
    <t>Equal to 100% of the env. impact determined for CRC processing in Luthin 2023</t>
  </si>
  <si>
    <t>Equal to 100% of the env. impact determined for carbon fiber porolysis and carbon fiber cutting in Luthin 2023</t>
  </si>
  <si>
    <t>LCI:  ErecEoL (Impact of the recycling process at the EoL)</t>
  </si>
  <si>
    <t>Crushing</t>
  </si>
  <si>
    <t>Total mass of composite industrial floor</t>
  </si>
  <si>
    <t>Waste</t>
  </si>
  <si>
    <t xml:space="preserve">Fuel Demand Crushing </t>
  </si>
  <si>
    <t>Quantity [kg] [MJ]</t>
  </si>
  <si>
    <t>DE: Diesel mix at filling station</t>
  </si>
  <si>
    <t>DE: Electricity grid mix</t>
  </si>
  <si>
    <t>Electricity Demand Crushing</t>
  </si>
  <si>
    <t>Electrcity Demand Pyrolysis</t>
  </si>
  <si>
    <t>Natural Gas Demand Pyrolysis</t>
  </si>
  <si>
    <t xml:space="preserve">DE: Natural gas mix </t>
  </si>
  <si>
    <t>recycled crushed concrete</t>
  </si>
  <si>
    <t>recycled carbon fibers</t>
  </si>
  <si>
    <t>particulates</t>
  </si>
  <si>
    <t>CRC Scarp</t>
  </si>
  <si>
    <t>as in Luthin 2023: 2098,38 kg crushed concrete and 21,48 crushed carbon fibers</t>
  </si>
  <si>
    <t>Crushed Carbon Fibers</t>
  </si>
  <si>
    <t>Salt Water</t>
  </si>
  <si>
    <t xml:space="preserve">DE: Tap water from groundwater; DE: Sodium chloride (rock salt) </t>
  </si>
  <si>
    <t>Luthin 2023 (Salinity 5%)</t>
  </si>
  <si>
    <t>Following the recycling rate process from Luthin 2023</t>
  </si>
  <si>
    <t>Wast for Landfill from Luthin 2023</t>
  </si>
  <si>
    <t>CO2</t>
  </si>
  <si>
    <t>H2O (gaseous)</t>
  </si>
  <si>
    <t>Carbon dioxide [Inorganic emissions to air]</t>
  </si>
  <si>
    <t>Cutting of Carbon Fibers</t>
  </si>
  <si>
    <t>Electrcity Demand Cutting</t>
  </si>
  <si>
    <t xml:space="preserve">Recycled Carbon Fibers of specific length </t>
  </si>
  <si>
    <t>LCI:  ED (Impact of the disposal process at the EoL)</t>
  </si>
  <si>
    <t>CRC Crushing Waste</t>
  </si>
  <si>
    <t>Landfilled Waste</t>
  </si>
  <si>
    <t>Carbon Fibers Waste</t>
  </si>
  <si>
    <t>Assumption: Considering the CFF application, in this case Ev = E*v as concrete and carbon fiber are recycled, obtaining secondary concrete and carbon fiber which is used to substitute primary concrete/ carbo fiber. It just cannot substitute 100% of the primary concrete/carbon fiber due to quality downgrading. Yet, this is considered through the parameter Q.</t>
  </si>
  <si>
    <t>LCI:  Ev=E*V (Impact of primary raw material)</t>
  </si>
  <si>
    <t xml:space="preserve">Crushed Concrete </t>
  </si>
  <si>
    <t>Aggregates (gravel)</t>
  </si>
  <si>
    <t xml:space="preserve">Carbon fibers of specific length </t>
  </si>
  <si>
    <t>Tap Water</t>
  </si>
  <si>
    <t>DE: Tap water from groundwater</t>
  </si>
  <si>
    <t>Erec</t>
  </si>
  <si>
    <t>Check in Annex C the availability of a material specific A value: No, value doesn't exists in Annex C</t>
  </si>
  <si>
    <t>Application Specific Value from Annex C &amp; literature/ market analysis</t>
  </si>
  <si>
    <t>Hermansson, F (2022)</t>
  </si>
  <si>
    <t>(Carbon360), (C3-Carbonbeton), (Frauenhofer)</t>
  </si>
  <si>
    <t>0,5 - 0,7</t>
  </si>
  <si>
    <t>Yang, Y (2024)</t>
  </si>
  <si>
    <t xml:space="preserve">Company specific value (primary project data) </t>
  </si>
  <si>
    <t>Check in Annex C the availability of material-specific value: No, value doesn't exist</t>
  </si>
  <si>
    <t xml:space="preserve"> E*v=Ev: two quality ratios are needed: Qsin/Qp associated to the recycled content, and Qsout/Qp associated to recyclability at EoL</t>
  </si>
  <si>
    <t>Check values given in Annex C for application or material specific based on economic aspects: No vlaue exists</t>
  </si>
  <si>
    <t>Check values given in Annex C for application or material specific based on physical aspects: No vlaue exists</t>
  </si>
  <si>
    <t>Concrete Industrial Floor</t>
  </si>
  <si>
    <t>Aggregate (gravel) (Aggregates consist of 80% recycled concrete (2/4) and 20% gravel)</t>
  </si>
  <si>
    <t>Concrete Industrial floor (1m3)</t>
  </si>
  <si>
    <t>Garcia-Troncoso, N (2022); DIN 206-1; see calculations sheet</t>
  </si>
  <si>
    <t>Berechnung Druckfestigkeitsklasse R-CRC</t>
  </si>
  <si>
    <t>Composition (kg)</t>
  </si>
  <si>
    <t xml:space="preserve">crushed concrete
</t>
  </si>
  <si>
    <t>Näherung Druckfestigkeit basierend auf Wasser-Zement-Verhältnis</t>
  </si>
  <si>
    <t>aggregates</t>
  </si>
  <si>
    <t>carbon fibers</t>
  </si>
  <si>
    <t>w/z =</t>
  </si>
  <si>
    <t>w/z</t>
  </si>
  <si>
    <t>w/z :</t>
  </si>
  <si>
    <t>Wasser-Zement-Verhältnis</t>
  </si>
  <si>
    <t>CEM III A, 42,5 R</t>
  </si>
  <si>
    <t xml:space="preserve"> =</t>
  </si>
  <si>
    <t>160/(280+95) =</t>
  </si>
  <si>
    <t>w :</t>
  </si>
  <si>
    <t>Wassergehalt</t>
  </si>
  <si>
    <t>fly ash</t>
  </si>
  <si>
    <t xml:space="preserve">z : </t>
  </si>
  <si>
    <t>Zementmenge</t>
  </si>
  <si>
    <t>tap water</t>
  </si>
  <si>
    <t>superplasticizer</t>
  </si>
  <si>
    <t>Mit Hilfe der Walzkurven wird über den w/z-Wert die erforderliche Druckfestigkeit ermittelt</t>
  </si>
  <si>
    <t xml:space="preserve">Für einen Zement CEM III 42,5 R ergibt sich: fc,dry,cube = </t>
  </si>
  <si>
    <t>N/mm^2</t>
  </si>
  <si>
    <t>fc,cube =</t>
  </si>
  <si>
    <t>0,92 * fc,dry,cube = 0,92 *60 =</t>
  </si>
  <si>
    <t xml:space="preserve">Vorhaltemaß v ohne bekannt Standardabweichung: </t>
  </si>
  <si>
    <t>9-12 N/mm^2</t>
  </si>
  <si>
    <t xml:space="preserve">gewählt: </t>
  </si>
  <si>
    <t>v =</t>
  </si>
  <si>
    <t>fck,cube =</t>
  </si>
  <si>
    <t>fcm,cube - v = 55,2 - 9 =</t>
  </si>
  <si>
    <t>Druckfestigekeitsklasse C35/45</t>
  </si>
  <si>
    <t>Überprüfung!! - Einfluss recycelter Anteil?</t>
  </si>
  <si>
    <t xml:space="preserve">(RC-Körnungen nur bis zu einer Druckfestigkeit von C30/37 bei bestimmten Expositionsklassen verwendet werden) </t>
  </si>
  <si>
    <t>Berechnung Zusammensetzung conventional concrete</t>
  </si>
  <si>
    <t>nach DIN 206-1 mit Zement-Merkblatt</t>
  </si>
  <si>
    <t>Bestimmung Zusammensetzung über Druckfestigkeitsklasse:</t>
  </si>
  <si>
    <t>Bereich Normalbeton :</t>
  </si>
  <si>
    <t>C8/10 - C50/60</t>
  </si>
  <si>
    <t>Druckfestigkeitsklassen Industrieboden (abhängig von Einsatzbereich) :</t>
  </si>
  <si>
    <t>C25/30 - C45/50</t>
  </si>
  <si>
    <t>gewählt:</t>
  </si>
  <si>
    <t>C30/37</t>
  </si>
  <si>
    <t>mit Zement: CEM I 42,5 R (Portlandzement)</t>
  </si>
  <si>
    <t>konventioneller Beton</t>
  </si>
  <si>
    <t>Je nach Expositionsklasse: höchstzulässiges Wasser-/ Zementverhältnis: 0,55</t>
  </si>
  <si>
    <t xml:space="preserve">Angabe Dichten: Zement-Merkblatt </t>
  </si>
  <si>
    <t>Je nach Expositionsklasse: Mindestzementgehalt: 300 - 320 kg/m^3</t>
  </si>
  <si>
    <t>Normale Gesteinskörnung: Trockenrohdichte ~</t>
  </si>
  <si>
    <t>kg/m^3</t>
  </si>
  <si>
    <t>&gt;2000 kg/m^3</t>
  </si>
  <si>
    <t>z.B. Kiessand, Granit</t>
  </si>
  <si>
    <t>≤2600 kg/m^3</t>
  </si>
  <si>
    <t>für Normalbeton</t>
  </si>
  <si>
    <t xml:space="preserve">Portlandzement Dichte: </t>
  </si>
  <si>
    <t>Expositionsklasse für Industrieboden:</t>
  </si>
  <si>
    <t>Betonkorrosion, verursacht durch Verschleißbeanspruchung</t>
  </si>
  <si>
    <t>XM1 - XM3</t>
  </si>
  <si>
    <t>Annahme: miitlere Belastung</t>
  </si>
  <si>
    <t>XM2</t>
  </si>
  <si>
    <t>min C30/37</t>
  </si>
  <si>
    <t>min z = 300</t>
  </si>
  <si>
    <t>max w = 0,55</t>
  </si>
  <si>
    <t xml:space="preserve">Betonkorrosion, verursacht durch chemischen Angriff </t>
  </si>
  <si>
    <t>evtl. XA1 - XA3 je nach geplantem Gebrauch</t>
  </si>
  <si>
    <t>Annahme: keine Angabe - entfällt</t>
  </si>
  <si>
    <t>CEM I anwendbar für alle Expositionsklassen</t>
  </si>
  <si>
    <t>Festlegung Grenzwerte</t>
  </si>
  <si>
    <t xml:space="preserve">c = </t>
  </si>
  <si>
    <t xml:space="preserve">w ≤ </t>
  </si>
  <si>
    <t>fck =</t>
  </si>
  <si>
    <t>fcm,cube =</t>
  </si>
  <si>
    <t>fck,cube + v = 37 + 9 =</t>
  </si>
  <si>
    <t>Umrechnung auf Trockenlagerung</t>
  </si>
  <si>
    <t>0,92 * fc,dry,cube</t>
  </si>
  <si>
    <t>fr,dry,cube =</t>
  </si>
  <si>
    <t>fc,cube/0,92 = 46 / 0,92 =</t>
  </si>
  <si>
    <t>Mit Hilfe der Walzkurven wird der für die Druckfestigkeit erforderliche w/z-Wert ermittelt</t>
  </si>
  <si>
    <t xml:space="preserve">Für einen Zement CEM I 42,5 R ergibt sich: max w/z ≤ 0,52 </t>
  </si>
  <si>
    <t>≤0,55</t>
  </si>
  <si>
    <t xml:space="preserve">w/z = </t>
  </si>
  <si>
    <t>Betonzusammensetzung</t>
  </si>
  <si>
    <t>Wasserghalt w:</t>
  </si>
  <si>
    <t>w =</t>
  </si>
  <si>
    <t xml:space="preserve">w/z * c </t>
  </si>
  <si>
    <t>0,5 * 320 =</t>
  </si>
  <si>
    <t>Volumen Zement:</t>
  </si>
  <si>
    <t>Vz =</t>
  </si>
  <si>
    <t>c / Dichte</t>
  </si>
  <si>
    <t>320 / 3100 =</t>
  </si>
  <si>
    <t>m^3</t>
  </si>
  <si>
    <t xml:space="preserve">Volumen Wasser: </t>
  </si>
  <si>
    <t>Vw =</t>
  </si>
  <si>
    <t>w / Dichte</t>
  </si>
  <si>
    <t>160 / 1000 =</t>
  </si>
  <si>
    <t>Volumen Gesteinskörnung:</t>
  </si>
  <si>
    <t>Vg =</t>
  </si>
  <si>
    <t>1 - Vz - Vw</t>
  </si>
  <si>
    <t>1 - 0,103 - 0,160 =</t>
  </si>
  <si>
    <t>Masse Gesteinskörnung:</t>
  </si>
  <si>
    <t xml:space="preserve">Mg = </t>
  </si>
  <si>
    <t>Vg * Dichte</t>
  </si>
  <si>
    <t>0,737 * 2600 =</t>
  </si>
  <si>
    <t>kg</t>
  </si>
  <si>
    <t>~</t>
  </si>
  <si>
    <t xml:space="preserve">CEM I 42,5 R
</t>
  </si>
  <si>
    <t>Masse Gesamt:</t>
  </si>
  <si>
    <t xml:space="preserve">aggregate </t>
  </si>
  <si>
    <t>M =</t>
  </si>
  <si>
    <t xml:space="preserve">w + c + Mg </t>
  </si>
  <si>
    <t>160 + 320 + 1920 =</t>
  </si>
  <si>
    <t>entspricht Dichte Normalbeton (2400 kg/m^3)</t>
  </si>
  <si>
    <t>Substitution</t>
  </si>
  <si>
    <t>Druckfestigkeitsklasse von recyceltem Carbonbeton höher ist als die des konventionellem Beton</t>
  </si>
  <si>
    <t>1 m^3 Industrieboden aus konventionellem Beton kann durch Carbonbeton ersetzt werden</t>
  </si>
  <si>
    <t>Anforderung an Druckfestigkeitsklasse erfüllt</t>
  </si>
  <si>
    <t>Crushed Concrete</t>
  </si>
  <si>
    <t>around 30 % waste from crushing, needs to be landfilled/disposed (Reference: Gebremariam, A (2020))</t>
  </si>
  <si>
    <t>LCI:  Erec = 0 (as only primary materialsl and no secondary material is used for the conventional concrete product)</t>
  </si>
  <si>
    <t>for reuse, around 30 % waste from crushing, needs to be landfilled/disposed (Reference: Gebremariam, A (2020))</t>
  </si>
  <si>
    <t>(Reference: https://doi.org/10.3390/su151411469) '@Carla adjusted because you cannot assume that CRC needs the same energy as concrete in mechanical recycling. Due to carbon fibers it might be more energy intensive, so I have taken the numbers from this reference</t>
  </si>
  <si>
    <t>Fuel Demand</t>
  </si>
  <si>
    <t xml:space="preserve">Water </t>
  </si>
  <si>
    <t>0.00895 MJ Diesel/ kg (Reference: https://doi.org/10.3390/su151411469) '@Carla adjusted because you cannot assume that CRC needs the same energy as concrete in mechanical recycling. Due to carbon fibers it might be more energy intensive, so I have taken the numbers from this reference</t>
  </si>
  <si>
    <t>0.0067 kg/ kg (Reference: https://doi.org/10.3390/su151411469) '@Carla adjusted because you cannot assume that CRC needs the same energy as concrete in mechanical recycling. Due to carbon fibers it might be more energy intensive, so I have taken the numbers from this reference</t>
  </si>
  <si>
    <t>Concrete Crushing Waste</t>
  </si>
  <si>
    <t>Gebremariam, A (2020)</t>
  </si>
  <si>
    <t>Following the recycling rate from Gebremariam, A (2020)</t>
  </si>
  <si>
    <t>Composite MM4R CCB</t>
  </si>
  <si>
    <t>PP for Organo Sheet, Moulding Granulate and Hollow Profile</t>
  </si>
  <si>
    <t>GF for Organo Sheet, Moulding Granulate and Hollow Profile</t>
  </si>
  <si>
    <t>Production Polypropylene (PP)</t>
  </si>
  <si>
    <t>Production Glass Fiber (GF)</t>
  </si>
  <si>
    <t>Primary mass quantity data from MM4R Project (Assumption: 10% cuttings hollow profile; 30% cuttings organo sheet &amp; 0% cuttings moulding granulate) (secondary GaBi process)</t>
  </si>
  <si>
    <t>DE: Glass fibres Sphera</t>
  </si>
  <si>
    <t>DE: Polypropylene granulate (PP) mix Sphera</t>
  </si>
  <si>
    <t>LCI:  Erec (A small amount of recycled PP is used for molding granulate)</t>
  </si>
  <si>
    <t>Literature Research Energy Demand for Recycling PP - Sorting</t>
  </si>
  <si>
    <t>Energy Demand PP Recycling - Sorting [MJ/kg]</t>
  </si>
  <si>
    <t>Gandhi et al 2021 https://www.techscience.com/jrm/v9n8/42123</t>
  </si>
  <si>
    <t>Jeswani et al 2021  https://www.sciencedirect.com/science/article/pii/S0048969720380141</t>
  </si>
  <si>
    <t>Volk et al 2021 https://onlinelibrary.wiley.com/doi/10.1111/jiec.13145</t>
  </si>
  <si>
    <t>Khoo 2019 https://www.sciencedirect.com/science/article/pii/S0921344919300679?via%3Dihub</t>
  </si>
  <si>
    <t>Hefei Growking Optoelectroni c Technology Co., Ltd, 2024 https://www.grotechcolorsorter.com/plastic-color-sorting-machine-for-pp-pet-pvc-recycling_p59.html, Operating load 70%</t>
  </si>
  <si>
    <t>Literature Research Air Demand PP Recycling - Sorting</t>
  </si>
  <si>
    <t>Air Demand PP Recycling - Sorting [m3/kg]</t>
  </si>
  <si>
    <t>Hefei Growking Optoelectronic Technology Co., Ltd, 2024 https://www.grotechcolorsorter.com/plastic-color-sorting-machine-for-pp-pet-pvc-recycling_p59.html
Model ZF700: 2700 l/min/1000*60/5500kg/h=0,0295 m3/kg</t>
  </si>
  <si>
    <t>Hefei Growking Optoelectronic Technology Co., Ltd, 2024 https://www.grotechcolorsorter.com/plastic-color-sorting-machine-for-pp-pet-pvc-recycling_p59.html
Model ZF 300: 1200 l/min/1000*60/2000kg/h= 0,036 m3/kg</t>
  </si>
  <si>
    <t>Literature Research Energy Demand for Recycling PP - Washing</t>
  </si>
  <si>
    <t>Energy Demand PP Recycling - Washing [MJ/kg]</t>
  </si>
  <si>
    <t>Hidalgo-Crespo et al 2022  https://hal.science/hal-04105782v1</t>
  </si>
  <si>
    <t>Vlachopoulos et al 2023 https://www.semanticscholar.org/paper/AN-ASSESSMENT-OF-ENERGY-SAVINGS-DERIVED-FROM-OF-NEW-Vlachopoulos-Vlachopoulos/96a1e16d3f151cae8263b3fb275a787e85e5cf35</t>
  </si>
  <si>
    <t>Zhanjiang Beier Machinery 2024, Operating load 70%</t>
  </si>
  <si>
    <t>Yill Machinery 2024, Operating load 70%</t>
  </si>
  <si>
    <t>Literature Research Water Demand for Recycling PP - Washing</t>
  </si>
  <si>
    <t>Water Demand PP Recycling - Washing [m3/kg]</t>
  </si>
  <si>
    <t>Zhanjiang Beier Machinery 2024</t>
  </si>
  <si>
    <t>Yill Machinery 2024 https://yilimachinery.com/recycling-solutions/plastic-washing-line/pe-pp-film-pp-woven-raffia-bag-recycling-and-washing-line/
Model QX300: 0,5 t Wasser/h*1000 kg/t / 300 kg PP/h /1000 kg/m3= 0,00167 m3/h</t>
  </si>
  <si>
    <t>Yill Machinery 2024 https://yilimachinery.com/recycling-solutions/plastic-washing-line/pe-pp-film-pp-woven-raffia-bag-recycling-and-washing-line/
Model QX500: 1,2t/h*1000/500 kg/h/1000</t>
  </si>
  <si>
    <t>Yill Machinery 2024  https://yilimachinery.com/recycling-solutions/plastic-washing-line/pe-pp-film-pp-woven-raffia-bag-recycling-and-washing-line/
Model QX1000 : 3t/h*1000/1000 kg/h /1000= 0,003</t>
  </si>
  <si>
    <t>Retech Machine 2024 https://www.retechmachine.com/product/post-consumer-pp-pe-ldpe-lldpe-film-bag-washing-recycling-line.html
Model RM300: 5 t/h*1000/300 kg/h/1000</t>
  </si>
  <si>
    <t>Retech Machine 2024 https://www.retechmachine.com/product/post-consumer-pp-pe-ldpe-lldpe-film-bag-washing-recycling-line.html
Model RM 500: 7 t/h*1000/500/1000</t>
  </si>
  <si>
    <t xml:space="preserve">Retech Machine 2024 https://www.retechmachine.com/product/post-consumer-pp-pe-ldpe-lldpe-film-bag-washing-recycling-line.html
Model RM 1000: 9 t/h*1000/1000/1000 </t>
  </si>
  <si>
    <t>Literature Research Energy Demand for Recycling PP - Pelletizing</t>
  </si>
  <si>
    <t>Energy Demand PP Recycling - Pelletizing [MJ/kg]</t>
  </si>
  <si>
    <t>Zhanjiang Beier Machinery, 2024 https://www.beierrecycling.com/strand-pelletizer-machine/, Operating load 70%</t>
  </si>
  <si>
    <t>Fangsheng Machinery, 2024 https://www.fsplasmachine.com/pe-pp-film-pelletizing-granulating- machine/, Operating load 70%</t>
  </si>
  <si>
    <t>Gu et al., 2017 https://doi.org/10.1016/j.scitotenv.2017.05.278</t>
  </si>
  <si>
    <t>CMG SPA, 2024 https://www.cmg-granulators.com/en/granulators-evolution-series/, Operating load 70%</t>
  </si>
  <si>
    <t>Pallmann, 2024 https://www.pallmann.eu/fileadmin/user_upload/K630.2_Granulating_of_Plastics.pdf, Operating load 70%</t>
  </si>
  <si>
    <t>Vlachopoulos http://www.polydynamics.com/GREENHOUSE_GASES_INTERNET_VERSION_WORLD_BANK.pdf</t>
  </si>
  <si>
    <t>Volk et al, 2021 https://doi.org/10.1111/jiec.13145</t>
  </si>
  <si>
    <t>Literature Research Energy Demand for Recycling PP - Drying</t>
  </si>
  <si>
    <t>Energy Demand PP Recycling - Drying [MJ/kg]</t>
  </si>
  <si>
    <t>Vlachopoulos http://www.polydynamics.com/GREENHOUSE_GASES_INTERNET_VERSION_WORLD_BANK.pdf Drying Polyethylene</t>
  </si>
  <si>
    <t xml:space="preserve">Zhangjiagang Linda Machinery Co, 2024 https://www.ld-machinery.com/pa-dryer-product/? gad_source=1&amp;gclid=Cj0KCQjw6PGxBhCVARIsAIumnWaBjGVFnswFUDbfcD1wg2u2 jqsJM4gu3-4aAdCnIultU_wDkaw0qcQaAuPUEALw_wcB, Operating load 70% 0,08kWh/kg*3,6*0,7 </t>
  </si>
  <si>
    <t>Literature Research Energy Demand for Recycling PP - Grinding</t>
  </si>
  <si>
    <t>Energy Demand PP Recycling -Grinding [MJ/kg]</t>
  </si>
  <si>
    <t>Gandhi et al, 2021 https://doi.org/10.32604/jrm.2021.015529</t>
  </si>
  <si>
    <t>Macko, 2012 https://www.intechopen.com/chapters/37118</t>
  </si>
  <si>
    <t>Flizikowski, 2009 https://yadda.icm.edu.pl/baztech/element/bwmeta1.element.baztech-article-BPG8-0015-0004</t>
  </si>
  <si>
    <t>PP (Input for recycling)</t>
  </si>
  <si>
    <t>Primary mass quantity data from MM4R Project</t>
  </si>
  <si>
    <t>Electricity</t>
  </si>
  <si>
    <t>Primary mass data MM4R Project &amp; Lit. Data for energy demand: Sorting 0,2338 MJ/kg+ Washing 1,52714+ Grinding 0,8768+ Drying 0,3268+ Pelletizing 1,1098 = 4,07434 MJ/kg</t>
  </si>
  <si>
    <t>Compressed Air</t>
  </si>
  <si>
    <t xml:space="preserve">GLO: Compressed air 7 bar (medium power consumption) </t>
  </si>
  <si>
    <t>Quantity [kg] [MJ] [m3]</t>
  </si>
  <si>
    <t xml:space="preserve">Primary mass data MM4R Project &amp; Lit. Data for air demand: 0,03275 m3/ kg; 7 bar in consultation with project partner </t>
  </si>
  <si>
    <t>Primary mass data MM4R Project &amp; Lit. Data for water demand: 0,0077 m3/ kg = 7,7 kg/ kg</t>
  </si>
  <si>
    <t xml:space="preserve">Recycled PP </t>
  </si>
  <si>
    <t>Assumption, no waste</t>
  </si>
  <si>
    <r>
      <rPr>
        <b/>
        <sz val="11"/>
        <color theme="1"/>
        <rFont val="Calibri"/>
        <family val="2"/>
        <scheme val="minor"/>
      </rPr>
      <t xml:space="preserve">Mechanical Recycling: </t>
    </r>
    <r>
      <rPr>
        <sz val="11"/>
        <color theme="1"/>
        <rFont val="Calibri"/>
        <family val="2"/>
        <scheme val="minor"/>
      </rPr>
      <t>Mechanical recycling is the most widely applied process for recycling glass fiber-reinforced polymers (GFRPs). This method involves grinding the composite waste into smaller particles, which can then be used as fillers or reinforcements in new composite materials. Mechanical recycling is particularly suitable for GFRP waste and has been implemented at an industrial scale by GFRP manufacturers  (https://www.mdpi.com/2071-1050/14/24/16855?utm_source=chatgpt.com)</t>
    </r>
  </si>
  <si>
    <t xml:space="preserve">LCI:  ErecEoL </t>
  </si>
  <si>
    <t>Literature Research Energy Demand for GFRP Mechanical Recycling</t>
  </si>
  <si>
    <t>Energy Demand GFRP Mechanical Recycling [MJ/kg]</t>
  </si>
  <si>
    <t xml:space="preserve">Howarth 2014 https://www.sciencedirect.com/science/article/pii/S0959652614006118?via%3Dihub </t>
  </si>
  <si>
    <t>Differences in energy demand, especially depending on the recycling rate. Various values were therefore taken and the mean value was calculated.</t>
  </si>
  <si>
    <t>Howarth 2014 https://www.sciencedirect.com/science/article/pii/S0959652614006118?via%3Dihub mechanical recycling method was
reported to be 2.03 MJ/kg and 0.27 MJ/kg at recycling rates of 10 kg/
h and 150 kg/h</t>
  </si>
  <si>
    <t xml:space="preserve">Pickering 2016 https://www.sciencedirect.com/science/article/pii/S1359835X05002101?via%3Dihub </t>
  </si>
  <si>
    <t xml:space="preserve">Stergiou 2022 https://www.mdpi.com/2504-477X/6/5/144 </t>
  </si>
  <si>
    <t>Lee 2016 https://opendata.uni-halle.de/bitstream/1981185920/81413/1/Lee_ZiJun_Life%20Cycle%20Assessment_of_Reuse-Remanufacture_EoL_Fibre_Reinforced_Polymer.pdf</t>
  </si>
  <si>
    <t>Shuaib 2016 https://www.sciencedirect.com/science/article/pii/S0959652616001190?via%3Dihub</t>
  </si>
  <si>
    <t xml:space="preserve">Mativenga 2016 https://www.sciencedirect.com/science/article/pii/S000785061630107X?via%3Dihub bei 1,2 kg/h  sehr wenig </t>
  </si>
  <si>
    <t>Utekar 2021 https://www.sciencedirect.com/science/article/pii/S1359836820336428?via%3Dihub</t>
  </si>
  <si>
    <t>Diez-Canamero 2021 https://www.sciencedirect.com/science/article/pii/S0956053X23002726?via%3Dihub</t>
  </si>
  <si>
    <t xml:space="preserve">Zhang 2021 https://www.sciencedirect.com/science/article/pii/S1359836821005047?via%3Dihub mechanical shredding (0.17–1.93 MJ/kg) </t>
  </si>
  <si>
    <t>Lieberwirth 2017 https://books.vivis.de/wp-content/uploads/2023/01/2017_RuR_327-338_Lieberwirth.pdf</t>
  </si>
  <si>
    <t>GF-PP Composite (PP for recycling)</t>
  </si>
  <si>
    <t>Primary mass quantity data from MM4R Project: 94,8% Recovery Rate https://link.springer.com/article/10.1007/s42452-020-2195-4; 1,079kg*0,948</t>
  </si>
  <si>
    <t>GF-PP Composite (GF for recycling)</t>
  </si>
  <si>
    <t>Primary mass data MM4R Project &amp; Lit. Data for energy demand (from Tables above): 1,649 MJ/ kg</t>
  </si>
  <si>
    <t>Recycled GF</t>
  </si>
  <si>
    <t xml:space="preserve">Quantity [kg] [MJ] </t>
  </si>
  <si>
    <t>Assuming a recycling rate of 94,8%: https://link.springer.com/article/10.1007/s42452-020-2195-4</t>
  </si>
  <si>
    <t>Shredding and Melting Literature Data (0,79135*(0,126 + 2,16))</t>
  </si>
  <si>
    <t>Shredding and Melting Literature Data (1,8829*(0,126 + 2,16))</t>
  </si>
  <si>
    <t>LCI:  ED</t>
  </si>
  <si>
    <t>Shredding and Melting Literature Data (0,22325*(0,126 + 15,7))</t>
  </si>
  <si>
    <t>GF-PP Composite Recycling Waste</t>
  </si>
  <si>
    <t>Landfilled GF-PP Composite Recycling Waste</t>
  </si>
  <si>
    <r>
      <t xml:space="preserve">EU-28: Plastic waste on landfill Sphera </t>
    </r>
    <r>
      <rPr>
        <sz val="11"/>
        <color rgb="FF000000"/>
        <rFont val="Calibri"/>
        <family val="2"/>
        <scheme val="minor"/>
      </rPr>
      <t>(best fitting GaBi Process from the available ones)</t>
    </r>
  </si>
  <si>
    <t>Allocation CFF CCB into CFF for Alu parts and CFF for St parts that are seperated at the EoL</t>
  </si>
  <si>
    <t>Allocation CFF CCB into CFF for Alu parts, CFF for St parts and CFF for composite parts that are seperated at the EoL</t>
  </si>
  <si>
    <t>GFRP Composite: Mass (raw material) = 1,079 kg (PP) &amp; 1,249 kg (GF); Mass (recycled) = 3,2091 kg (low cuttings) &amp; 1,6834 kg (high cuttings); Mass (landfilled) = 0,169 kg (low cuttings) &amp; 0,0886 kg (high cuttings)</t>
  </si>
  <si>
    <t>Primary mass quantity data from MM4R Project: 94,8% Recovery Rate https://link.springer.com/article/10.1007/s42452-020-2195-4; 1,0195kg*0,948</t>
  </si>
  <si>
    <t>Primary Data MM4R Project; 94,8% Recovery Rate https://link.springer.com/article/10.1007/s42452-020-2195-4; 1,1112 kg*0,948</t>
  </si>
  <si>
    <t>Al-Sheet: Mass (raw material) = 0,9996 kg (low cuttings) &amp; 2,973 kg (high cuttings); Mass (recycled) = 0,79135 kg (low cuttings) &amp; 1,8829 kg (high cuttings); Mass (landfilled) = 0,04165 kg (low cuttings) &amp; 0,0991 kg (high cuttings)</t>
  </si>
  <si>
    <t>St-Sheet: Mass (raw material) = 0,3525 kg (high cuttings); Mass (recycled) = 0,22325 kg (high cuttings); Mass (landfilled) =  0,01175 kg (high cuttings)</t>
  </si>
  <si>
    <r>
      <rPr>
        <b/>
        <sz val="11"/>
        <rFont val="Calibri"/>
        <family val="2"/>
        <scheme val="minor"/>
      </rPr>
      <t xml:space="preserve">Porolysis </t>
    </r>
    <r>
      <rPr>
        <sz val="11"/>
        <rFont val="Calibri"/>
        <family val="2"/>
        <scheme val="minor"/>
      </rPr>
      <t>(Reason for Porolysis: mechanical recycling of carbon fibers - not part of this case study since pyrolysis can recover higher quality recycled carbon fibers, it allows more options to substitute virgin carbon fibers; pyrolisis has higher environmental impacts but achieves better results (Backes; Del Rosario (2022))</t>
    </r>
  </si>
  <si>
    <t>174,63 MJ Diesel: Backes 2022 (for demolition pre-crushing; loading of demolition material; main crushing with jaw crusher; sieving, discharche to the bunker) (Since Luthin 2023 focuses on already clean CRC scarp)</t>
  </si>
  <si>
    <t>Backes 2022 (for pre-seperation with magnetic seperator; main separation sorting)  (Since Luthin 2023 focuses on already clean CRC scarp)</t>
  </si>
  <si>
    <t>DE: Electricity grid mix (2020)</t>
  </si>
  <si>
    <t>Water vapour [Inorganic emissions to air]</t>
  </si>
  <si>
    <t>32-3% waste from crushing (residual fraction), needs to be landfilled/disposed (Reference: Luthin 2023 &amp; https://doi.org/10.1007/s42452-020-2195-4)</t>
  </si>
  <si>
    <t>DE: Inert matter (Construction waste) on landfill Sphera</t>
  </si>
  <si>
    <t>DE: Concrete C8/10 Sphera</t>
  </si>
  <si>
    <t>DE: Gravel grain 2-32 mm Sphera</t>
  </si>
  <si>
    <t>DE: Carbon fiber (CF; PAN-based; HT) - 08 Fraunhofer</t>
  </si>
  <si>
    <t>DE: Cement (CEM III 42.5) (burden free binders) (EN15804 A1-A3) Sphera</t>
  </si>
  <si>
    <t>DE: Fly ash (EN15804 A1-A3) Sphera</t>
  </si>
  <si>
    <t>DE: Tap water from groundwater Sphera</t>
  </si>
  <si>
    <t>DE: Concrete admixtures – Plasticizer and superplasticizer - Deutsche Bauchemie e.V. (DBC) (A1-A3) Sphera-EPD &lt;t-agg&gt;</t>
  </si>
  <si>
    <t>Check values given in Annex C which are only applicable for packaging materials: A value of Qsin/Qp=1 was identified</t>
  </si>
  <si>
    <t>Check values given in Annex C which are only applicable for packaging materials: A value of Qsout/Qp=1 was identified</t>
  </si>
  <si>
    <t>Check values given in Annex C which are only applicable for packaging materials: A value of Qsin/Qp=1 and Qsout/Qp=1 was identified</t>
  </si>
  <si>
    <t>0,995 - 1</t>
  </si>
  <si>
    <t>Value has to be set to 0</t>
  </si>
  <si>
    <t>Al-Sheet Component Part (see above)</t>
  </si>
  <si>
    <t>St-Sheet Component Part (see above)</t>
  </si>
  <si>
    <t>Composite Part</t>
  </si>
  <si>
    <t>0 - 0,13</t>
  </si>
  <si>
    <t>0,5 - 0,8</t>
  </si>
  <si>
    <t>0 - 0,8</t>
  </si>
  <si>
    <t>Aluminum/ Steel reference cross car beam (CCB)</t>
  </si>
  <si>
    <t>Literature/ Market Studies</t>
  </si>
  <si>
    <t>Application Specific Value from Annex C and literature/ market study research</t>
  </si>
  <si>
    <t xml:space="preserve"> </t>
  </si>
  <si>
    <t>Application Specific Value from Annex C &amp; literature and market research</t>
  </si>
  <si>
    <t>Based on packeging default values and literature/ market research</t>
  </si>
  <si>
    <t>Based on Default values from Annex C and market research literature</t>
  </si>
  <si>
    <t>Check in Annex C: If a material specific A value is not available, the A value shall be set equal to A=0,5</t>
  </si>
  <si>
    <t>Default value from Annex C, market research</t>
  </si>
  <si>
    <t xml:space="preserve">Check if company specific value is available: Yes, no recycled composite input content, therefore, R1=0 </t>
  </si>
  <si>
    <t>Check in Annex C if company specific value is available:  Current scenario without recycled input content R1=0 (future technically possible scenario with recycled input content R1=0,7)</t>
  </si>
  <si>
    <t>Check in Annex C if company specific values are available --&gt; No, value doesn't exist</t>
  </si>
  <si>
    <t xml:space="preserve">Check in Annex C if company specific value is available: Yes, no recycled St input content, therefore, R1=0 </t>
  </si>
  <si>
    <t>Default Value from Annex C and market lit. Research</t>
  </si>
  <si>
    <t>Check values given in Annex C which are only applicable for packaging materials: A value for only PP was found of Qsin/Qp=0,9 and Qsout/Qp=0,1 was identified</t>
  </si>
  <si>
    <t>Check values given in Annex C which are only applicable for packaging materials: A value for only PP was found of Qsin/Qp=0,9</t>
  </si>
  <si>
    <t>Check values given in Annex C which are only applicable for packaging materials: A value for only PP was found of Qsout/Qp=0,1</t>
  </si>
  <si>
    <t>Mirzaie, S (2020)</t>
  </si>
  <si>
    <t>Check in Annex C if company specific value is available: No, no value is available, study based on secondary data</t>
  </si>
  <si>
    <t>Default Value from Annex C and literature/ market analysis</t>
  </si>
  <si>
    <t>Assumption: Primary material  has the highest quality</t>
  </si>
  <si>
    <t>Default Value from Annex C &amp; literature/ market analysis</t>
  </si>
  <si>
    <t>Company specific value (primary project data) and literature case study analysis</t>
  </si>
  <si>
    <t>Literature and maket analysis</t>
  </si>
  <si>
    <t>Mass Allocation</t>
  </si>
  <si>
    <t xml:space="preserve">Aluminum/ Steel Reference CCB </t>
  </si>
  <si>
    <t>CFF Parameter Al-Sheet</t>
  </si>
  <si>
    <t>CFF Parameter St-Sheet</t>
  </si>
  <si>
    <t>Impact Parameter Al-Sheet</t>
  </si>
  <si>
    <t>Impact Parameter St-Sheet</t>
  </si>
  <si>
    <t>Impact Parameter Composite Part</t>
  </si>
  <si>
    <t>CFF Parameter Composite</t>
  </si>
  <si>
    <t>Case Study 2: Industrial Floor</t>
  </si>
  <si>
    <t>Impact Parameter Concrete Industrial Floor</t>
  </si>
  <si>
    <t>CFF Parameter Concrete Industrial Floor</t>
  </si>
  <si>
    <t>Impact Parameter Composite Industrial Floor</t>
  </si>
  <si>
    <t>CFF Parameter Composite Industrial Floor</t>
  </si>
  <si>
    <t>Distribution Function</t>
  </si>
  <si>
    <t>Justification</t>
  </si>
  <si>
    <t>Defined as a reference value (primary material=100% quality), meaning no variability</t>
  </si>
  <si>
    <t>No recycled content in the input material, so no variability</t>
  </si>
  <si>
    <t>Truncated Normal (mean=0,5; std=0,05; min=0,45; max=0,55)</t>
  </si>
  <si>
    <t>R1 (recycled input)</t>
  </si>
  <si>
    <t>R2 (recycling at EoL)</t>
  </si>
  <si>
    <t>Qp (Virgin material quality)</t>
  </si>
  <si>
    <t>Qsin (Quality of ingoing secondary material)</t>
  </si>
  <si>
    <t>Qsout (Quality of outgoing secondary material)</t>
  </si>
  <si>
    <t>A (Allocation factor)</t>
  </si>
  <si>
    <t>Higher recycling rates dominate, but lower values are still possible: Most probable value (mode) at 0,9: Matches real-world data showing high recycling rates; higher probability of values closer to 1 but allows for some cases where R2 is low; Strictly bounded (0 - 1): Ensures values don’t exceed physical limits - (most concrete industrial floor will have high recycling, but some cases (old materials, multi-cycle limitations, contamination, logistics) could prevent it, PEF Default=0)</t>
  </si>
  <si>
    <t>Fixed value (0)</t>
  </si>
  <si>
    <t>Truncated Normal (mean=0,6; std=0,1; min=0,5; max=0,7)</t>
  </si>
  <si>
    <t>Carbon fibers of specific length (Consists of 100% recycled material; The final fiber content is currently assumed to be 4–8 kg)</t>
  </si>
  <si>
    <t>CEM III A, 42.5 R (purchased material)</t>
  </si>
  <si>
    <t>Fly ash (purchased material)</t>
  </si>
  <si>
    <t>Tap water (purchased material)</t>
  </si>
  <si>
    <t>Superplasticizer (PCE basis [3.5 M-% of cement] ) /purchased material)</t>
  </si>
  <si>
    <t>Values center around 0,6 (Reflects the weighted recycled content); but more unlikely cases of 0 (no recycled content of purchased materials) and 1 (fully recycled content of carbon fibers) occure in this case study; the distribution allows most values stay within a realistic range while allowing small variations</t>
  </si>
  <si>
    <t>Triangular (0; 0,8; 0,8)</t>
  </si>
  <si>
    <t>Uncertainty, more likely to have R2 ≈ 0.8, but low recycling values (R2 = 0) are rare but possible (Annex C Default value &amp; lack of recycling structure in some regions, material contamination, technical or ecnomic challanges e.g. carbon fibers might be too damaged to be reused etc.)</t>
  </si>
  <si>
    <t>Fixed value (0,2)</t>
  </si>
  <si>
    <t>Truncated Normal (mean=0,997; std=0,002; min=0,995; max=1)</t>
  </si>
  <si>
    <t>Aluminium maintains high quality after recycling, with minimal degradation; Negligible quality loss in recycled aluminium</t>
  </si>
  <si>
    <t>Annex C provides an application-specific value of A = 0,2 for aluminium; High demand, low supply of secondary aluminium</t>
  </si>
  <si>
    <t>Annex C provides a material-specific value of A = 0.2 for aluminium; High demand, low supply of secondary steel, No variability reported</t>
  </si>
  <si>
    <t>Current company-specific scenario specifies no recycled input (R1 = 0).</t>
  </si>
  <si>
    <t xml:space="preserve">Based on assuming: primary material has the highest quality </t>
  </si>
  <si>
    <t>Fixed Value (1)</t>
  </si>
  <si>
    <t>Recycled steel retains full quality (no downcycling); Steel retains its original properties after recycling, ensuring full substitutability</t>
  </si>
  <si>
    <t xml:space="preserve">Based on Qp=1,assuming: primary material has the highest quality </t>
  </si>
  <si>
    <t>Truncated Normal (mean=0,65; std=0,1; min=0,5; max=0,8)</t>
  </si>
  <si>
    <t>Symmetric uncertainty within 0,5–0,7; no strong evidence for a "most likely" value (mode); the range of 0.5–0.7 for A is reasoned in slightly increasing supply and low-to-moderate demand for recycled composite concrete materials</t>
  </si>
  <si>
    <t>Captures uncertainty in supply-demand balance, with most values near 0,65 but still allows for variability in recycling demand; no strong evidence for a "most likely" value (mode); the range of 0,5–0,8 is reasoned in slightly increasing supply and low-to-moderate demand for recycled composite materials</t>
  </si>
  <si>
    <t>Company data specifies no recycled composite input</t>
  </si>
  <si>
    <t>Fixed value (1)</t>
  </si>
  <si>
    <t>Triangular (0; 0,1; 0,13)</t>
  </si>
  <si>
    <t>Most values are expected to be near 10% (recycling rate), but lower values (even R2 = 0) are still possible; Uncertainty exists, as recycling technology and policies influence values</t>
  </si>
  <si>
    <t>(1) A=0,5 for concrete case study --&gt; Accoding to PEF; (2) A = 0,5 : declining concrete production, simultaneously increasing demand for more sustainable alternatives to conventional concrete, resulting in an equilibrium of demand and offer of conventional concrete (3) A = 0,5 : value was chosen because of the equilibrium between the supply of the reusable building components and the demand of the reused components indicating an equilibrium between offer and demand</t>
  </si>
  <si>
    <t>(1) PEF, Mirzaie, S (2020); (2) Beton.org (2024), BW (2011); (3) Yang (2024)</t>
  </si>
  <si>
    <t>R1 = 0 : case study of in-situ concrete with 20% cement replacement and no recycled content; input of only primary concrete</t>
  </si>
  <si>
    <t>R1 = 0 : produced using virgin materials in the first use cycle, where no recycled/ reused content is used</t>
  </si>
  <si>
    <t>range determined according to PEF Guide and literature analysis</t>
  </si>
  <si>
    <t>0,5 - 1</t>
  </si>
  <si>
    <t xml:space="preserve"> E*v=Ev: two quality ratios are needed: Qsin/Qp associated to the recycled content, and Qsout/Qp associated to recyclability at EoL </t>
  </si>
  <si>
    <t xml:space="preserve">Check values given in Annex C which are only applicable for packaging materials: No value exists </t>
  </si>
  <si>
    <t xml:space="preserve">Check values given in Annex C for application or material specific based on economic aspects: No vlaue exists </t>
  </si>
  <si>
    <t>Qp=1,assuming: primary material has the highest quality (a) Qp = 1 : price for recycling concrete C30/37 is 192 €/m3, price for concrete for industrial floor is 179 €/m3 to 197 €/m3, for an exposure class of XM2 and largest grain size of 32 mm price is 197 €/m3, hence price of the recycled concrete Qsout is 97% of the price of the primary material Qp, indicating 197 €/m3 is 100% (b) Qsout/ Qp = 1 : assumption that crushed concrete can be interchangeably used instead of virgin crushed gravel, that scenario can be considered as the closest to the actual use of crushed concrete - indicating that the quality of the concrete does not decline (c) Qp = 1 : as for concrete, it can be downcycled as recycled concrete aggregate (RCA); Studies have shown that RCA costs $2.40 per tonne, while natural aggregate costs $4.70 per tonne (Frondistou-Yannas, 1981) - indicating that the rpice of the natural aggregate equals to 100%</t>
  </si>
  <si>
    <t>(a) Rennig (2023); (b) Mirzaie (2020) ©Yang (2024)</t>
  </si>
  <si>
    <t xml:space="preserve">Check values given in Annex C for application or material specific based on physical aspects: No vlaue exists </t>
  </si>
  <si>
    <t>assuming recycled aggregates as input: 
Qsin/ Qp = 0,52 : selling price of not quality-assured recycled aggregates is around 48% cheaper than the price of natural aggregates</t>
  </si>
  <si>
    <t>Uhlig (2023)</t>
  </si>
  <si>
    <t>Literature/ Market Analysis (economic approach)</t>
  </si>
  <si>
    <t>Qsout/ Qp = 0,52 : selling price of not quality-assured recycled aggregates is around 48% cheaper than the price of natural aggregates</t>
  </si>
  <si>
    <t>Qsout/Qp = 0,97 : price for recycling concrete C30/37 is 192 €/m3, price for concrete for industrial floor is 179 €/m3 to 197 €/m3, for an exposure class of XM2 and largest grain size of 32 mm price is 197 €/m3</t>
  </si>
  <si>
    <t>Rennig (2023)</t>
  </si>
  <si>
    <t>Mirzaie (2020)</t>
  </si>
  <si>
    <t>Yang (2024)</t>
  </si>
  <si>
    <t>Qsout/ Qp = 1 : assumption that crushed concrete can be interchangeably used instead of virgin crushed gravel, that scenario can be considered as the closest to the actual use of crushed concrete - indicating that the quality of the concrete does not decline</t>
  </si>
  <si>
    <t>Qs/ Qp = 0,5 : as for concrete, it can be downcycled as recycled concrete aggregate (RCA); Studies have shown that RCA costs $2.40 per tonne, while natural aggregate costs $4.70 per tonne (Frondistou-Yannas, 1981)</t>
  </si>
  <si>
    <t>range determined according to economic approach and literature analysis</t>
  </si>
  <si>
    <t>Smooth variation around 0,5 but strictly within realistic limits  due to minor fluctuations in supply and demand, no strong peak or extreme values - most values cluster around the mean, with decreasing probability as you move away (as this is based on the Annex C default list and lit. indicates an equilibrium between offer and demand</t>
  </si>
  <si>
    <t xml:space="preserve">Truncated Normal (mean=0,52; std=0,05; min=0,47; max=0,59) </t>
  </si>
  <si>
    <t>Smooth variation around 0,52 but strictly within realistic limits  due to minor fluctuations in economic value (indication for quality of secondary input material)</t>
  </si>
  <si>
    <t>A = 0,5 - 0,7 : low offer and low demand but slightly increasing offer, working on increasing offer - Low demand due to high costs, unfamiliarity, conservative market</t>
  </si>
  <si>
    <t>Check if company specific value is available: Yes, recycled concrete and carbon fiber input content: 80% of recycled concrete; 100% of recycled carbon fiber; 0% for cement, tap water, superplasticizer, flying ash company specific value available: 80% recycled concrete input (75% of input are aggregate), 100% recycled cabon fiber input (0,3% of input are carbon fiber) --&gt;  allokation: R1 = 0,8*0,75+1*0,003 = 0,603</t>
  </si>
  <si>
    <t>R1 = 0 : a fictitious product made from only primary composite material was chosen --&gt; case study focuses on virgin carbon fiber, which are not used in CRC scrap case study - hence no usable assessment of R1</t>
  </si>
  <si>
    <t>Truncated Normal (mean=0,6, std=0,2, min=0, max=1)</t>
  </si>
  <si>
    <t xml:space="preserve">Default Value from Annex C and literature/ market analysis </t>
  </si>
  <si>
    <t>Check values given in Annex C for application or material specific based on economic aspects</t>
  </si>
  <si>
    <t>Check values given in Annex C which are only applicable for packaging materials: Value of Qp=1 was available</t>
  </si>
  <si>
    <t xml:space="preserve">Quality ratios are considered; the ratio to the value Qp is always calculated, whereby Qp represents 100%; the ratios are shown at Qsin and Qsout; Qp = 1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of the recycled material after pyrolysis compared to the virgin material, assuming a tensile strength of the virgin material of 100% </t>
  </si>
  <si>
    <t>Hermansson (2022)</t>
  </si>
  <si>
    <r>
      <t>Check values given in Annex C for application or material specific based on physical aspects: No vlaue exists</t>
    </r>
    <r>
      <rPr>
        <sz val="11"/>
        <color rgb="FFFF0000"/>
        <rFont val="Calibri"/>
        <family val="2"/>
        <scheme val="minor"/>
      </rPr>
      <t xml:space="preserve"> </t>
    </r>
  </si>
  <si>
    <r>
      <t>Check values given in Annex C for application or material specific based on economic aspects: No vlaue exists</t>
    </r>
    <r>
      <rPr>
        <sz val="11"/>
        <color rgb="FFFF0000"/>
        <rFont val="Calibri"/>
        <family val="2"/>
        <scheme val="minor"/>
      </rPr>
      <t xml:space="preserve"> </t>
    </r>
  </si>
  <si>
    <t>Urbansky (2020); Uhlig (2023)</t>
  </si>
  <si>
    <t xml:space="preserve">Literature and maket analysis </t>
  </si>
  <si>
    <t>Truncated Normal (mean=0,65; std=0,1; min=0,55; max=0,8)</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</si>
  <si>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allokation: substitute product consits of 99,7% concrete and 0,3% carbon fiber: 
1. Qsout/ Qp = 0,997*0,52+0,003*0,1 = 0,519
2. Qsout/ Qp = 0,997*0,52+0,003*0,2 = 0,519</t>
  </si>
  <si>
    <t>Truncated Normal (mean=0,65; std=0,1; min=0,5; max=0,82)</t>
  </si>
  <si>
    <t>Carbon fiber recycling is advanced but some quality loss occurs (Amiruddin 2022, Kortmann 2023, Xu 2024) - Market studies confirm recycled fibers are of high quality (0,6-0,8) but not always identical to virgin fibers, economic approch indicates values around 0,52 - 0,62 --&gt; Truncated normal ensures most values are around 0,65 but allows slight variability within the range (Most recycled carbon fibers are of high quality but slightly inferior to virgin fibers)</t>
  </si>
  <si>
    <t>Hermansson (2022) suggests 0,82, which aligns with an assumption of moderate downcycling but retention of mechanical properties, economic approach indicated values at 0,52 --&gt; A truncated normal distribution ensures most values cluster around 0,65 but allows for a range of lower and higher values depending on the recycling method (Downcycling during the recycling process typically reduces quality, but advanced methods can produce higher-quality aggregates)</t>
  </si>
  <si>
    <t>Truncated Normal (mean= 0,85; std=0,15; min=0,5 and max=1)</t>
  </si>
  <si>
    <t>Most values cluster around 0.85, reflecting market data and practical reuse of RCA. Lower values (~0.5) are possible in cases of strong downcycling, based on economic pricing data. Higher values (~1) are possible where RCA fully substitutes virgin material (but not universally). Truncated normal distribution ensures realistic variability while avoiding extreme probabilities.</t>
  </si>
  <si>
    <t>ööööö</t>
  </si>
  <si>
    <t>Aluminium scrap demand exceeds supply. Industries had to replace secondary aluminium with primary aluminium. High Demand, low supply means low A value according to PEF Annex C A=0,2</t>
  </si>
  <si>
    <t>SMM, 2024</t>
  </si>
  <si>
    <t>The Battery Pass consortium, 2023</t>
  </si>
  <si>
    <t>This paper used the A value out of Annex C for aluminium: 0,2</t>
  </si>
  <si>
    <t>Kulczycka, Lewandowska, Joachimiak; 2024</t>
  </si>
  <si>
    <t>This paper applies various methodologies to determine different values for R1, ranging from 0% to 10%</t>
  </si>
  <si>
    <t>Seyed Shahabaldin Seyed Salehi, 2020</t>
  </si>
  <si>
    <t>0,76 - 1</t>
  </si>
  <si>
    <t>Triangular (0,76; 0,9; 1)</t>
  </si>
  <si>
    <t>Aluminium is highly recycled (~90%), with some variability based on collection/recycling efficiency</t>
  </si>
  <si>
    <t>Qp=1,assuming: primary material has the highest quality: (a) Ultra high purity of primary aluminium has a purity of 99,999% (b) Qp has been set to 1 for aluminium</t>
  </si>
  <si>
    <t>(a) Hoshikawa, Tanaka, Megumi, 2013 (b) The Battery Pass consortium, 2023</t>
  </si>
  <si>
    <t xml:space="preserve">Based literature and on assuming: primary material has the highest quality </t>
  </si>
  <si>
    <t>Based on packeging default values and literature/ economic market research</t>
  </si>
  <si>
    <t>0,52 - 1</t>
  </si>
  <si>
    <t xml:space="preserve">Aluminium maintains high quality after recycling, with minimal degradation </t>
  </si>
  <si>
    <t>Truncated Normal (mean=0,9; std=0,1; min=0,52; max=1)</t>
  </si>
  <si>
    <t>(a) Suer, Traverso, Jäger; 2022 (b) World Steel Association, 2021</t>
  </si>
  <si>
    <t>0,2 is choosen for high quality secondary materials, which is the case for many metals</t>
  </si>
  <si>
    <t>(a) This paper applies various methodologies to determine a value for R1. The value has been set to 0% (b) This paper calculated the R1 value for steel and set the value to 0,6 © A value of 0,17 has been set for R1 for steel in this paper</t>
  </si>
  <si>
    <t>(a) Seyed Shahabaldin Seyed Salehi, 2020 (b) Ungureanu et al., 2019 © Babian, 2022</t>
  </si>
  <si>
    <t>Check in Annex C the availability of material-specific value: Yes, material specific European average value for steel is given with 0,85 in Annex C</t>
  </si>
  <si>
    <t>(a) This paper choose 0,9 as a value for R2. This value has been derived from the application specific values for R2 in Annex C for steel that ranges between 0,85 and 0,95 (b) This paper applies various methodologies to determine different values for R2, ranging from 82% to 90% (c) This paper calculated the R2 value for steel and set the value to 0,9 (d) A value of 0,81 has been set for R2 for steel in this paper</t>
  </si>
  <si>
    <t>(a) Rydberg et al., 2023 (b) Seyed Shahabaldin Seyed Salehi, 2020 © Ungureanu et al., 2019 (d) Babian, 2022</t>
  </si>
  <si>
    <t>0,81 - 0,9</t>
  </si>
  <si>
    <t>Triangular (0,81; 0,85; 0,9)</t>
  </si>
  <si>
    <t>Steel is highly recycled (~85%) (Annex C Default value &amp; lit. Market research on recycability of steel), with some variability based on collection/recycling efficiency</t>
  </si>
  <si>
    <t>This paper set R1 to 0 for the fibre and the poylmer; The recycling content and recycling routes of GF-PP are not easily to assess, because the GF-PP waste tracking is not well established in the market --&gt; No fixed value can be set</t>
  </si>
  <si>
    <t>Hermansson et al., 2022; Gonçalves, Martinho, Oliveira; 2022</t>
  </si>
  <si>
    <t xml:space="preserve">Check in Annex C the availability of application-specific value: No, value doesn't exist </t>
  </si>
  <si>
    <t>Check in Annex C the availability of material-specific value: No, value doesn't exist --&gt; Composite value doesn't exist in Annex C. But European average (Step 3) for PP-Material and E-Glassfibre-Material are available and both equal 0</t>
  </si>
  <si>
    <t>Qp=1,assuming: primary material has the highest quality: (a) Qp has been set to 1 for PP (b) The initial fibers of GF-PP show the highest fibre lengths and strength. Any process of the primary material results in losses. The quality of the primary material is hence the highest and can be set to 1</t>
  </si>
  <si>
    <t>(a) The Battery Pass consortium, 2023 (b) Hansson, Larsson; 2022</t>
  </si>
  <si>
    <t>0,36 - 0,9</t>
  </si>
  <si>
    <t>Default Value from Annex C and lit. Market research</t>
  </si>
  <si>
    <t>Most recycled fibers retain high quality (~0,6) but in most cases show degradation; Annex C identified (for only PP packaging material) a value 0,9</t>
  </si>
  <si>
    <t>(a) The price of mehanical recycled fibers is about 80% of virgin ones (b) This study shows, that after every reprocessing step of GF-PP, fibre length as well as fibre strength is lost due to breaking of fibers in each prcoessing step. A correlation of loss in fiber length leads to a decrease in tensile strength of about 20% when secondary GF-PP undergoes another process. Compared to the values of Qsin, a quality loss of 20% would equal to a range of 28,8% to 62,4% for Qsout (c) As a strength loss of 18% per process, Qsout, in regards of the range of Qsin, can be set to 0,576-0,72.</t>
  </si>
  <si>
    <t>(a) Gonçalves, Martinho, Oliveira; 2022 (b) Hansson, Larsson; 2022 © Hermansson et al., 2022</t>
  </si>
  <si>
    <t>0,29 - 0,8</t>
  </si>
  <si>
    <t>market and lit. Research</t>
  </si>
  <si>
    <t>Truncated Normal (mean=0,6; std=0,2; min=0,29; max=0,8)</t>
  </si>
  <si>
    <t>Allows for variability in recyclability quality, avoiding extreme values but ensuring realistic uncertainty (recycling quality varies widely (0,29 to 0,8), depending on recycling efficiency;  Annex C identified (for only PP packaging material) a value 0,1</t>
  </si>
  <si>
    <t>a</t>
  </si>
  <si>
    <t>r1</t>
  </si>
  <si>
    <t>r2</t>
  </si>
  <si>
    <t>qs_in</t>
  </si>
  <si>
    <t>qs_out</t>
  </si>
  <si>
    <t>p1</t>
  </si>
  <si>
    <t>p2</t>
  </si>
  <si>
    <t>p3</t>
  </si>
  <si>
    <t>p4</t>
  </si>
  <si>
    <t>distribution</t>
  </si>
  <si>
    <t>qp</t>
  </si>
  <si>
    <t>triang</t>
  </si>
  <si>
    <t>truncnorm</t>
  </si>
  <si>
    <t>fixed</t>
  </si>
  <si>
    <t>industrial_floor</t>
  </si>
  <si>
    <t>composite_floor</t>
  </si>
  <si>
    <t>industrial_CCB_al</t>
  </si>
  <si>
    <t>industrial_CCB_st</t>
  </si>
  <si>
    <t>composite_CCB_al</t>
  </si>
  <si>
    <t>composite_CCB_st</t>
  </si>
  <si>
    <t>composite_CCB_cp</t>
  </si>
  <si>
    <t>CFF_param</t>
  </si>
  <si>
    <t>case_study</t>
  </si>
  <si>
    <t>R2 = 0,7 : 30% of the crushed EoL concrete presents an environmental and economic burden because it has no proper use, 70% of crushed concrete is recyclable</t>
  </si>
  <si>
    <t>Gebremariam (2020)</t>
  </si>
  <si>
    <t>0 - 0,7</t>
  </si>
  <si>
    <t>Triangular (0; 0,7; 0,7)</t>
  </si>
  <si>
    <t>Qs/ Qp = 0,75 - 0,9 : the tensile strength of recycled concrete can be 10–25% lower than that of conventional concrete made with natural coarse aggregate</t>
  </si>
  <si>
    <t>Tabsh (2008)</t>
  </si>
  <si>
    <t>According to PEFCR 0,5 as there are no A factors available for carbon fibers
in the list of default values - does not relfect true balance for recycled carbon fibers, especially as large-scale carbon fiber recycling is not available today and future market developments are unknown; study explores options of A = 0,2 and 0,8 for case study of composit of polymer and carbon fiber --&gt; study explores both ends of the range but does not comment on whether a higher or lower range is more suitable for CF; study does not give insights on the offer or demand of CF, which is supposed to be represented by A - hence no usable assessment of A</t>
  </si>
  <si>
    <t>(a) R2 = 0,8 : the value is based on data for the recycling process Pyrolysis from Dong et al. (2018)</t>
  </si>
  <si>
    <t>(a) Hermansson, F (2022)</t>
  </si>
  <si>
    <t>Carbon Fiber: (a) Xu (2024); (b) Kortmann (2023); ©Emmerich (2014) Concrete: Ecra (2015); Yang (2024)</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</si>
  <si>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--&gt; allocation: 80% recycled concrete aggregates (75% concrete aggregates input), 100% recycled cabon fiber (0,3% carbon fiber input): 
1. Qsin/ Qp = 0,8*0,75*0,52+1*0,003*0,1 = 0,312
2. Qsin/ Qp = 0,8*0,75*0,52+1*0,003*0,2 = 0,313</t>
  </si>
  <si>
    <t>Carbon Fiber: (a) Qsin/ Qp = 0,902 : The pyrolysis technique provides the recycled CF with high-quality properties comparable to virgin CF; Tensile strength may achieve 90.19% of vCF (b) Qsin/ Qp = 0,8 : recycled fibres can already be used in the short term for practical and thus marketable constructions with a narrow range of requirements; Further-developed recycled fibres with an increased load-bearing capacity enable savings of up to 80% in raw materials; still high-quality secondary raw materials (c)  Qsin/ Qp = 0,643 : comparison of the mechanical properties (tensile strength) of virgin CF compared to with pyrolysis recycled CF; tensile strength of vCF= 4111MPa, rCF=2643MPa - degradation of tensile strength of 35,7% Concrete: (a) Qs/ Qp = 0,923 : 1 for the use of recycled aggregates in roadbeds whereas it will have a value smaller than 1 for recycled concrete used as an aggregate (to account for modifications the concrete composition required to achieve the same compressive strength) - reduction in compressive strength from concrete with natural aggregates to concrete with aggregate from recycled concrete from 52 N/mm2 to 48 N/mm2 for w/c=0,5 (b) Qs/ Qp = 0,5 : as for concrete, it can be downcycled as recycled concrete aggregate (RCA); Studies have shown that RCA costs $2.40 per tonne, while natural aggregate costs $4.70 per tonne (Frondistou-Yannas, 1981) --&gt; allocation: 80% recycled concrete aggregates (75% concrete aggregates input), 100% recycled cabon fiber (0,3% carbon fiber input):
1. Qsin/ Qp = 0,8*0,75*0,5+1*0,003*0,64 = 0,302 2. Qsin/ Qp = 0,8*0,75*0,92+1*0,003*0,9 = 0,555</t>
  </si>
  <si>
    <t>0,3 - 0,56</t>
  </si>
  <si>
    <t>Carbon Fiber: (a) Hermansson, F (2022); (b) Xu (2024); © Emmerich (2014) Concrete: (a) Mirzaie (2020) (b) Yang (2024)</t>
  </si>
  <si>
    <t>Carbon Fiber: (a) Qsout = 0,82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a tensile strength degradation of 18% for Case Pyrolysis is assumed which corresponds to the degradation in tensile strength for recycled fibers using the fluidized bed method; (b) Qsin/ Qp = 0,902 : The pyrolysis technique provides the recycled CF with high-quality properties comparable to virgin CF; Tensile strength may achieve 90.19% of vCF; (c) Qsin/ Qp = 0,643 : comparison of the mechanical properties (tensile strength) of virgin CF compared to with pyrolysis recycled CF; tensile strength of vCF= 4111MPa, rCF=2643MPa - degradation of tensile strength of 35,7% Concrete: (a) Qsout/ Qp = 1 : assumption that crushed concrete can be interchangeably used instead of virgin crushed gravel, that scenario can be considered as the closest to the actual use of crushed concrete - indicating that the quality of the concrete does not decline (b) Qs/ Qp = 0,5 : as for concrete, it can be downcycled as recycled concrete aggregate (RCA); Studies have shown that RCA costs $2.40 per tonne, while natural aggregate costs $4.70 per tonne (Frondistou-Yannas, 1981) --&gt; allocation: substitute product consits of 99,7% concrete and 0,3% carbon fiber: 
1. Qsout/ Qp = 0,997*0,5+0,003*0,64 = 0,500
2. Qsout/ Qp = 0,997*1,0+0,003*0,90 = 0,999</t>
  </si>
  <si>
    <t>(a) A=0,2 is choosen for high quality secondary materials, which is the case for many metals, including Aluminium (b) The allocation factor for metals is set to 0,2</t>
  </si>
  <si>
    <t>(a) The Battery Pass consortium, 2023 (b) Metals for buildings, 2024</t>
  </si>
  <si>
    <t xml:space="preserve">(a) Global Recycling Efficiency Rate of aluminium is 76% (b) The global recycling rate of aluminium in the automotive sector is 91% © The recycling erates in europe are over 90% </t>
  </si>
  <si>
    <t>(a) IAI, 2020 (b) Sean, Apelian © European Aluminium, 2020</t>
  </si>
  <si>
    <t>(a) Kulczycka, Lewandowska, Joachimiak; 2024; Wolf et al, 2020 (b) IAI; Eu RIC AISBL, 2022; Bakedano et al, 2021 © Declan Conway, 2023 (d) Metals for buildings, 2024</t>
  </si>
  <si>
    <t>0,8 - 1</t>
  </si>
  <si>
    <t>Truncated Normal (mean=0,9; std=0,05; min=0,8; max=1)</t>
  </si>
  <si>
    <t>(a) The quality ratio Qsout/Qp has been chosen according the value in Annex C: 1 (b) Qsout has been set to 1 for aluminium  (c)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 The quality of secondary aluminium equals the quality of primary aluminium. Therefor Qsout can be set to 1 and the quality ratio Qsout/Qp equals 1 (d) As aluminium is recycable over and over again withouth any quality loss, it can be assumed, that the quality of the outgoing secondary aluminium equals the quality of the ingoing secondary aluminium. So according to Declan Conway,of the price for secondary aluminium in 2023 in europe was between 2000€ and 2200€ per ton for aluminium pressure diecasting ingot DIN226. Given that this represents approximately 80% of the primary aluminium price, Qsout can be set to 0,8. Therefor Qsout/Qp can be set to 0,8.</t>
  </si>
  <si>
    <t xml:space="preserve">(a) The quality ratio Qsin/Qp has been chosen according the value in Annex C: 1 (b)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 (c) According to Declan Conway,of the price for secondary aluminium in 2023 in europe was between 2000€ and 2200€ per ton for aluminium pressure diecasting ingot DIN226. Given that this represents approximately 80% of the primary aluminium price, Qsin can be set to 0,8. Therefor Qsin/Qp can be set to 0,8 (d) For metals, the quality is assumed to stay the same through recycling. Qsin/Qp=Qsout/Qp=1 has been set (e) For metals, the quality is assumed to stay the same through recycling. Qsin/Qp=Qsout/Qp=1 has been set </t>
  </si>
  <si>
    <t>(a) Wolf et al, 2020 (b) The Battery Pass consortium, 2023 ©  IAI; Eu RIC AISBL, 2022; Bakedano et al, 2021 (d) IAI, Declan Conway, 2023 €) Metals for buildings, 2024</t>
  </si>
  <si>
    <t>(a) The demand of scrap is far above the supply. High Demand, low supply means low A value according to PEF Annex C A=0,2 (b) Steel demand is growing, but the availability of scrap is not growing at the same rate. Hence a scarcity of steel scrap occurs. High Demand, low supply means low A value according to PEF Annex C A=0,2</t>
  </si>
  <si>
    <t>(a) The default value of Annex C for steel of 0,2 has been used in this paper (b) A value of 0,2 has been set for A for steel in this paper © The allocation factor for metals is set to 0,2</t>
  </si>
  <si>
    <t>(a) Rydberg et al., 2023 (b) Babian, 2022 © Metals for buildings, 2024</t>
  </si>
  <si>
    <t>(a) The reccycling rate of steel is 82,2% globally (b) The recycling rate for steel in the automotive sector is about 90% © The recycling rate for steel in the automotive sector was 96% in 2019 in the US</t>
  </si>
  <si>
    <t>(a) Rolf Willeke, 2024 (b) WorldAutoSteel © American Iron and Steel Institute, 2021</t>
  </si>
  <si>
    <t>0,81 - 0,96</t>
  </si>
  <si>
    <t>Triangular (0,81; 0,88; 0,96)</t>
  </si>
  <si>
    <t>Qp=1,assuming: primary material has the highest quality: (a) This paper set Qp=1 (b) Qp indicates the quality of the primary aluminium. Accorcing to the London Metal Exchange, the price of primary steel was 740€ per ton in mid-February 2025 for the US. According to Jim Pritchard, the price for secondary steel in 2023 in the US was around 400€ per ton. Since the quality ratios Qsin/Qp and Qsout/Qp are derived by comparing the market price of secondary steel to that of primary steel, Qp can be set to 1 to establish a consistent benchmark for comparison</t>
  </si>
  <si>
    <t>(a) Rydberg et al., 2023 (b) LME Steel, 2025; Jim Pritchard, 2024</t>
  </si>
  <si>
    <t xml:space="preserve">(a) Steel can be recycled over and over again. It is 100% recyclable and can be recycled into the same quality again and again. he quality of secondary steel equals the quality of primary steel. Therefor Qsin equals 1 and Qsin/Qp can be set to 1.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 (c) The recycling rate for steel in the automotive sector was 96% in 2019 in the US (c) According to Jim Pritchard, the price for secondary steel in 2023 in the US was betweenaround 400€ per ton. Given that this represents approximately 55% of the primary steel price, Qsin can be set to 0,55. Therefor Qsin/Qp can be set to 0,55. (d) Qsin/Qp ratio has been fixed to 1 for steel in this paper (e) For metals, the quality is assumed to stay the same through recycling. Qsin/Qp=Qsout/Qp=1 has been set ; Metals are eternally recyclable and don't have issues with downcycling or quality issues if the metal is properly recycled. The quality of secondary steel equals the quality of primary steel. Therefor Qsin equals 1 and Qsin/Qp can be set to 1. (f) Qsin/Qp and Qsout/Qp has been set to 1, as steel keeps the metallugircal properties when recycled. The quality of primary steel equals the quality of secondary steel. </t>
  </si>
  <si>
    <t>(a) American Iron and Steel Institute, 2020 (b) World Steel Association, 2021 © Jim Pritchard, 2024 (d) Babian, 2022; Rydberg et al., 2023 € Metals for buildings, 2024; Eu RIC AISBL, 2022 (f) Yang et al., 2024</t>
  </si>
  <si>
    <t>0,55 - 1</t>
  </si>
  <si>
    <t>Triangular (0,55; 0,9; 0,1)</t>
  </si>
  <si>
    <t xml:space="preserve">(a) Steel can be recycled over and over again. It is 100% recyclable and can be recycled into the same quality again and again. The quality of secondary steel equals the quality of primary steel. Therefor Qsout equals 1 and Qsout/Qp can be set to 1.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 (c) As steel can be recycled into the same quality over and over again, it can be assumed, that the quality of the outgoing secondary steel equals the quality of the ingoing secondary steel. So according to Jim Pritchard, the price for secondary steel in 2023 in the US was aroun 400€ per ton. Given that this represents approximately 55% of the primary steel price, Qsout can be set to 0,55. Therefor Qsout/Qp can be set to 0,55. (d) Qsout/Qp ratio has been fixed to 1 for steel in this paper (e) For metals, the quality is assumed to stay the same through recycling. Qsin/Qp=Qsout/Qp=1 has been set (f) Qsin/Qp and Qsout/Qp has been set to 1, as steel keeps the metallugircal properties when recycled. The quality ofprimary steel equals the quality of secondary steel. </t>
  </si>
  <si>
    <t>(a) American Iron and Steel Institute, 2020; Eu RIC AISBL, 2022 (b) World Steel Association, 2021; Eu RIC AISBL, 2022 ©Jim Pritchard, 2024; American Iron and Steel Institute, 2020 (d) Babian, 2022; Rydberg et al., 2023 € Metals for buildings, 2024; (f) Yang et al., 2024</t>
  </si>
  <si>
    <t>The use for GF-PP is growing every year and so is the supply of recycable composite waste (a). But the demand is not as high for recycled GF-PP, because recycling end-of-life compounds results in loss of the materials properties (b) and the loss of mechanical durability  limits the reuse of recycled GF-PP for reinforcement and compromises the value position of the recycled material (c). The demand for recyceled GF-PP stays low, as most of the used GF-PP ends up in size reduction or in landfill and no esatblished method for recycling exists (c). But according to Pfisterer, Rinberg, Kroll, 2021 the automotive manufactures are increasingly trying to use recyclates. Low demand and high supply means a high A value according to PEF Report. The A value can be set from 0,5 to 0,8 because of the slightly increasing demand.</t>
  </si>
  <si>
    <t>Karuppannan Gopalraj, Kärki; 2020 (a)
Achukwu, 2023 (b)
Ginder, Ker, Ozcan; 2019 (c) 
Pfisterer, Rinberg, Kroll; 2021</t>
  </si>
  <si>
    <t>(a) The global recycling rate of GF-PP is 13%. R2 can be set to R2=0,13 (b) R2=0,13, in the UK, only 13% of GF-PP is recycled and only 6% is being reused, 67% of GF-PP is going to the landfill</t>
  </si>
  <si>
    <t>(a) Feng, Zhao, Xu, 2016 (b) Karuppannan Gopalraj, Kärki; 2020</t>
  </si>
  <si>
    <t>(a) The price of mehanical recycled fibers is about 80% of virgin ones (b) Recycling with pyrolisis showed a loss of 50 to 64% of mechanical properties of the compound. Mechanical recycling looses approximately 22% of strength of the compound. Compared to the quality of primary GF-PP, a quality ratio of 0,36-0,78 can be set (c) For the polymer, the quality ratio of 0,9 has been chosen as per the PEF Report. The paper based the quality ratios for the fibers based on the loss of tensile strength. It assumes that a loss of 18% is achieved when recycling with pyrolisis. The range for the quality ratio can be set from 0,72-0,9 (d) A decrease of the mechanical properties of the recycled GF-PP was indentified between 13,7% and 23,8% for tensile strength. Qs ranges between 0,76 and 0,86. Qsin/Qp then ranges between 0,76 and 0,86.</t>
  </si>
  <si>
    <t>(a) Gonçalves, Martinho, Oliveira; 2022 (b) Gonçalves, Martinho, Oliveira; 2022 © Hermansson et al., 2022 (d) Colucci et al., 2015</t>
  </si>
  <si>
    <t>Truncated Normal (mean=0,7; std=0,2; min=0,36; max=0,9)</t>
  </si>
  <si>
    <t>composite_CCB_allocated</t>
  </si>
  <si>
    <t>industrial_CCB_allocated</t>
  </si>
  <si>
    <t>erec_GWP</t>
  </si>
  <si>
    <t>erec_eol_GWP</t>
  </si>
  <si>
    <t>ed_GWP</t>
  </si>
  <si>
    <t>ev_GWP</t>
  </si>
  <si>
    <t>ev_star_GWP</t>
  </si>
  <si>
    <t>erec_eol_ADP_elements</t>
  </si>
  <si>
    <t>erec_ADP_elements</t>
  </si>
  <si>
    <t>ev_ADP_elements</t>
  </si>
  <si>
    <t>ev_star_ADP_elements</t>
  </si>
  <si>
    <t>erec_ADP_fossil</t>
  </si>
  <si>
    <t>erec_eol_ADP_fossil</t>
  </si>
  <si>
    <t>ev_ADP_fossil</t>
  </si>
  <si>
    <t>ev_star_ADP_fossil</t>
  </si>
  <si>
    <t>erec_AP</t>
  </si>
  <si>
    <t>erec_eol_AP</t>
  </si>
  <si>
    <t>ed_AP</t>
  </si>
  <si>
    <t>ev_AP</t>
  </si>
  <si>
    <t>ev_star_AP</t>
  </si>
  <si>
    <t>ed_ADP_fossil</t>
  </si>
  <si>
    <t>ed_ADP_elements</t>
  </si>
  <si>
    <t>erec_EP</t>
  </si>
  <si>
    <t>erec_eol_EP</t>
  </si>
  <si>
    <t>ed_EP</t>
  </si>
  <si>
    <t>ev_EP</t>
  </si>
  <si>
    <t>ev_star_EP</t>
  </si>
  <si>
    <t>erec_HTP</t>
  </si>
  <si>
    <t>erec_eol_HTP</t>
  </si>
  <si>
    <t>ed_HTP</t>
  </si>
  <si>
    <t>ev_HTP</t>
  </si>
  <si>
    <t>ev_star_HTP</t>
  </si>
  <si>
    <t>erec_ODP</t>
  </si>
  <si>
    <t>erec_eol_ODP</t>
  </si>
  <si>
    <t>ed_ODP</t>
  </si>
  <si>
    <t>ev_ODP</t>
  </si>
  <si>
    <t>ev_star_ODP</t>
  </si>
  <si>
    <t>erec_POCP</t>
  </si>
  <si>
    <t>erec_eol_POCP</t>
  </si>
  <si>
    <t>ed_POCP</t>
  </si>
  <si>
    <t>ev_POCP</t>
  </si>
  <si>
    <t>ev_star_POCP</t>
  </si>
  <si>
    <t xml:space="preserve">Impact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</si>
</sst>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
  </numFmts>
  <fonts count="3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2"/>
      <color rgb="FF000000"/>
      <name val="Calibri"/>
      <family val="2"/>
      <scheme val="minor"/>
    </font>
    <font>
      <sz val="12"/>
      <color theme="1"/>
      <name val="Calibri"/>
      <family val="2"/>
      <scheme val="minor"/>
    </font>
    <font>
      <vertAlign val="subscript"/>
      <sz val="12"/>
      <color theme="1"/>
      <name val="Calibri"/>
      <family val="2"/>
      <scheme val="minor"/>
    </font>
    <font>
      <sz val="8"/>
      <color theme="1"/>
      <name val="Aptos Narrow (Textkörper)"/>
    </font>
    <font>
      <vertAlign val="subscript"/>
      <sz val="11"/>
      <color theme="1"/>
      <name val="Calibri"/>
      <family val="2"/>
      <scheme val="minor"/>
    </font>
    <font>
      <sz val="11"/>
      <color theme="4"/>
      <name val="Calibri"/>
      <family val="2"/>
      <scheme val="minor"/>
    </font>
    <font>
      <sz val="11"/>
      <color rgb="FF92D050"/>
      <name val="Calibri"/>
      <family val="2"/>
      <scheme val="minor"/>
    </font>
    <font>
      <sz val="11"/>
      <color rgb="FF000000"/>
      <name val="Calibri"/>
      <family val="2"/>
      <scheme val="minor"/>
    </font>
    <font>
      <sz val="12"/>
      <color theme="1"/>
      <name val="Calibri"/>
      <family val="2"/>
      <scheme val="minor"/>
    </font>
    <font>
      <u/>
      <sz val="11"/>
      <color theme="10"/>
      <name val="Calibri"/>
      <family val="2"/>
      <scheme val="minor"/>
    </font>
    <font>
      <b/>
      <sz val="11"/>
      <color rgb="FF000000"/>
      <name val="Calibri"/>
      <family val="2"/>
      <scheme val="minor"/>
    </font>
    <font>
      <sz val="7"/>
      <color theme="1"/>
      <name val="Times New Roman"/>
      <family val="1"/>
    </font>
    <font>
      <sz val="8"/>
      <color theme="1"/>
      <name val="Calibri"/>
      <family val="2"/>
      <scheme val="minor"/>
    </font>
    <font>
      <sz val="11"/>
      <color theme="1"/>
      <name val="Courier New"/>
      <family val="1"/>
    </font>
    <font>
      <sz val="11"/>
      <name val="Calibri"/>
      <family val="2"/>
      <scheme val="minor"/>
    </font>
    <font>
      <b/>
      <sz val="11"/>
      <name val="Calibri"/>
      <family val="2"/>
      <scheme val="minor"/>
    </font>
    <font>
      <sz val="11"/>
      <color rgb="FFFF0000"/>
      <name val="Calibri"/>
      <family val="2"/>
      <scheme val="minor"/>
    </font>
    <font>
      <sz val="12"/>
      <name val="Calibri"/>
      <family val="2"/>
      <scheme val="minor"/>
    </font>
    <font>
      <sz val="12"/>
      <color rgb="FF1B1B1B"/>
      <name val="Calibri"/>
      <family val="2"/>
      <scheme val="minor"/>
    </font>
    <font>
      <b/>
      <sz val="12"/>
      <color theme="1"/>
      <name val="Calibri"/>
      <family val="2"/>
      <scheme val="minor"/>
    </font>
    <font>
      <sz val="12"/>
      <name val="Calibri"/>
      <family val="2"/>
      <scheme val="minor"/>
    </font>
    <font>
      <sz val="12"/>
      <color rgb="FFC00000"/>
      <name val="Calibri"/>
      <family val="2"/>
      <scheme val="minor"/>
    </font>
    <font>
      <sz val="12"/>
      <color theme="2" tint="-0.249977111117893"/>
      <name val="Calibri"/>
      <family val="2"/>
      <scheme val="minor"/>
    </font>
    <font>
      <sz val="12"/>
      <color rgb="FF1C1C1C"/>
      <name val="Calibri"/>
      <family val="2"/>
      <scheme val="minor"/>
    </font>
    <font>
      <b/>
      <sz val="16"/>
      <color theme="1"/>
      <name val="Aptos Narrow (Textkörper)"/>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6" tint="0.39997558519241921"/>
        <bgColor indexed="65"/>
      </patternFill>
    </fill>
    <fill>
      <patternFill patternType="solid">
        <fgColor theme="0" tint="-4.9989318521683403E-2"/>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CCCCCC"/>
        <bgColor indexed="64"/>
      </patternFill>
    </fill>
    <fill>
      <patternFill patternType="solid">
        <fgColor theme="3" tint="0.59999389629810485"/>
        <bgColor indexed="64"/>
      </patternFill>
    </fill>
    <fill>
      <patternFill patternType="solid">
        <fgColor theme="3"/>
        <bgColor indexed="64"/>
      </patternFill>
    </fill>
    <fill>
      <patternFill patternType="solid">
        <fgColor theme="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theme="4" tint="0.59999389629810485"/>
        <bgColor indexed="64"/>
      </patternFill>
    </fill>
    <fill>
      <patternFill patternType="solid">
        <fgColor theme="2" tint="-0.249977111117893"/>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666666"/>
      </left>
      <right/>
      <top style="medium">
        <color rgb="FF666666"/>
      </top>
      <bottom style="thick">
        <color rgb="FF666666"/>
      </bottom>
      <diagonal/>
    </border>
    <border>
      <left/>
      <right style="double">
        <color indexed="64"/>
      </right>
      <top style="medium">
        <color rgb="FF666666"/>
      </top>
      <bottom style="thick">
        <color rgb="FF666666"/>
      </bottom>
      <diagonal/>
    </border>
    <border>
      <left/>
      <right style="medium">
        <color rgb="FF666666"/>
      </right>
      <top style="medium">
        <color rgb="FF666666"/>
      </top>
      <bottom style="thick">
        <color rgb="FF666666"/>
      </bottom>
      <diagonal/>
    </border>
    <border>
      <left style="medium">
        <color rgb="FF666666"/>
      </left>
      <right style="medium">
        <color rgb="FF666666"/>
      </right>
      <top/>
      <bottom style="medium">
        <color rgb="FF666666"/>
      </bottom>
      <diagonal/>
    </border>
    <border>
      <left/>
      <right style="double">
        <color indexed="64"/>
      </right>
      <top/>
      <bottom style="medium">
        <color rgb="FF666666"/>
      </bottom>
      <diagonal/>
    </border>
    <border>
      <left/>
      <right style="medium">
        <color rgb="FF666666"/>
      </right>
      <top/>
      <bottom style="medium">
        <color rgb="FF666666"/>
      </bottom>
      <diagonal/>
    </border>
    <border>
      <left style="medium">
        <color rgb="FF666666"/>
      </left>
      <right style="medium">
        <color rgb="FF666666"/>
      </right>
      <top/>
      <bottom/>
      <diagonal/>
    </border>
    <border>
      <left style="double">
        <color indexed="64"/>
      </left>
      <right/>
      <top style="medium">
        <color rgb="FF666666"/>
      </top>
      <bottom style="thick">
        <color rgb="FF666666"/>
      </bottom>
      <diagonal/>
    </border>
    <border>
      <left style="medium">
        <color rgb="FF666666"/>
      </left>
      <right style="medium">
        <color rgb="FF666666"/>
      </right>
      <top style="medium">
        <color rgb="FF666666"/>
      </top>
      <bottom/>
      <diagonal/>
    </border>
    <border>
      <left style="medium">
        <color rgb="FF666666"/>
      </left>
      <right style="double">
        <color indexed="64"/>
      </right>
      <top style="medium">
        <color rgb="FF666666"/>
      </top>
      <bottom/>
      <diagonal/>
    </border>
    <border>
      <left style="medium">
        <color rgb="FF666666"/>
      </left>
      <right style="double">
        <color indexed="64"/>
      </right>
      <top/>
      <bottom/>
      <diagonal/>
    </border>
    <border>
      <left style="medium">
        <color rgb="FF666666"/>
      </left>
      <right style="double">
        <color indexed="64"/>
      </right>
      <top/>
      <bottom style="medium">
        <color rgb="FF666666"/>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medium">
        <color theme="5"/>
      </right>
      <top/>
      <bottom/>
      <diagonal/>
    </border>
    <border>
      <left style="medium">
        <color theme="5"/>
      </left>
      <right style="thin">
        <color indexed="64"/>
      </right>
      <top style="medium">
        <color theme="5"/>
      </top>
      <bottom/>
      <diagonal/>
    </border>
    <border>
      <left style="thin">
        <color indexed="64"/>
      </left>
      <right style="thin">
        <color indexed="64"/>
      </right>
      <top style="medium">
        <color theme="5"/>
      </top>
      <bottom style="thin">
        <color indexed="64"/>
      </bottom>
      <diagonal/>
    </border>
    <border>
      <left style="thin">
        <color indexed="64"/>
      </left>
      <right style="medium">
        <color theme="5"/>
      </right>
      <top style="medium">
        <color theme="5"/>
      </top>
      <bottom style="thin">
        <color indexed="64"/>
      </bottom>
      <diagonal/>
    </border>
    <border>
      <left style="medium">
        <color theme="5"/>
      </left>
      <right style="thin">
        <color indexed="64"/>
      </right>
      <top/>
      <bottom/>
      <diagonal/>
    </border>
    <border>
      <left style="thin">
        <color indexed="64"/>
      </left>
      <right style="medium">
        <color theme="5"/>
      </right>
      <top style="thin">
        <color indexed="64"/>
      </top>
      <bottom style="thin">
        <color indexed="64"/>
      </bottom>
      <diagonal/>
    </border>
    <border>
      <left style="medium">
        <color theme="5"/>
      </left>
      <right style="thin">
        <color indexed="64"/>
      </right>
      <top/>
      <bottom style="medium">
        <color theme="5"/>
      </bottom>
      <diagonal/>
    </border>
    <border>
      <left style="thin">
        <color indexed="64"/>
      </left>
      <right style="thin">
        <color indexed="64"/>
      </right>
      <top style="thin">
        <color indexed="64"/>
      </top>
      <bottom style="medium">
        <color theme="5"/>
      </bottom>
      <diagonal/>
    </border>
    <border>
      <left style="thin">
        <color indexed="64"/>
      </left>
      <right style="medium">
        <color theme="5"/>
      </right>
      <top style="thin">
        <color indexed="64"/>
      </top>
      <bottom style="medium">
        <color theme="5"/>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bottom style="thin">
        <color indexed="64"/>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theme="0" tint="-0.499984740745262"/>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30" fillId="9" borderId="0" applyNumberFormat="0" applyBorder="0" applyAlignment="0" applyProtection="0"/>
  </cellStyleXfs>
  <cellXfs count="343">
    <xf numFmtId="0" fontId="0" fillId="0" borderId="0" xfId="0"/>
    <xf numFmtId="0" fontId="0" fillId="0" borderId="1" xfId="0" applyBorder="1"/>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xf>
    <xf numFmtId="0" fontId="9" fillId="0" borderId="0" xfId="0" applyFont="1"/>
    <xf numFmtId="0" fontId="10" fillId="0" borderId="0" xfId="0" applyFont="1"/>
    <xf numFmtId="0" fontId="11" fillId="0" borderId="2" xfId="0" applyFont="1" applyBorder="1" applyAlignment="1">
      <alignment horizontal="center"/>
    </xf>
    <xf numFmtId="0" fontId="11" fillId="0" borderId="5" xfId="0" applyFont="1" applyBorder="1" applyAlignment="1">
      <alignment horizontal="center"/>
    </xf>
    <xf numFmtId="0" fontId="13" fillId="0" borderId="0" xfId="2"/>
    <xf numFmtId="164" fontId="0" fillId="0" borderId="0" xfId="0" applyNumberFormat="1" applyAlignment="1">
      <alignment horizontal="left" vertical="center"/>
    </xf>
    <xf numFmtId="0" fontId="3" fillId="0" borderId="0" xfId="0" applyFont="1"/>
    <xf numFmtId="0" fontId="0" fillId="0" borderId="12" xfId="0" applyBorder="1" applyAlignment="1">
      <alignment horizontal="center" vertical="center"/>
    </xf>
    <xf numFmtId="0" fontId="0" fillId="0" borderId="10" xfId="0" applyBorder="1" applyAlignment="1">
      <alignment vertical="top"/>
    </xf>
    <xf numFmtId="0" fontId="0" fillId="0" borderId="16" xfId="0" applyBorder="1" applyAlignment="1">
      <alignment vertical="top"/>
    </xf>
    <xf numFmtId="0" fontId="2" fillId="0" borderId="22" xfId="0" applyFont="1" applyBorder="1" applyAlignment="1">
      <alignment vertical="top"/>
    </xf>
    <xf numFmtId="0" fontId="0" fillId="0" borderId="0" xfId="0" applyAlignment="1">
      <alignment vertical="top" wrapText="1"/>
    </xf>
    <xf numFmtId="0" fontId="0" fillId="0" borderId="15" xfId="0" applyBorder="1" applyAlignment="1">
      <alignment vertical="top" wrapText="1"/>
    </xf>
    <xf numFmtId="0" fontId="5" fillId="0" borderId="19" xfId="0" applyFont="1" applyBorder="1"/>
    <xf numFmtId="0" fontId="0" fillId="0" borderId="21" xfId="0" applyBorder="1"/>
    <xf numFmtId="0" fontId="5" fillId="3" borderId="38" xfId="0" applyFont="1" applyFill="1" applyBorder="1"/>
    <xf numFmtId="0" fontId="0" fillId="3" borderId="28" xfId="0" applyFill="1" applyBorder="1"/>
    <xf numFmtId="0" fontId="0" fillId="0" borderId="15" xfId="0" applyBorder="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xf>
    <xf numFmtId="0" fontId="11" fillId="6" borderId="44" xfId="0" applyFont="1" applyFill="1" applyBorder="1" applyAlignment="1">
      <alignment horizontal="left" vertical="top" wrapText="1"/>
    </xf>
    <xf numFmtId="0" fontId="11" fillId="6" borderId="45" xfId="0" applyFont="1" applyFill="1" applyBorder="1" applyAlignment="1">
      <alignment horizontal="left" vertical="top" wrapText="1"/>
    </xf>
    <xf numFmtId="0" fontId="11" fillId="6" borderId="46" xfId="0" applyFont="1" applyFill="1" applyBorder="1" applyAlignment="1">
      <alignment horizontal="left" vertical="top" wrapText="1"/>
    </xf>
    <xf numFmtId="0" fontId="11" fillId="0" borderId="44" xfId="0" applyFont="1" applyBorder="1" applyAlignment="1">
      <alignment horizontal="left" vertical="top" wrapText="1"/>
    </xf>
    <xf numFmtId="0" fontId="11" fillId="0" borderId="45" xfId="0" applyFont="1" applyBorder="1" applyAlignment="1">
      <alignment horizontal="left" vertical="top" wrapText="1"/>
    </xf>
    <xf numFmtId="0" fontId="11" fillId="0" borderId="46" xfId="0" applyFont="1" applyBorder="1" applyAlignment="1">
      <alignment horizontal="left" vertical="top" wrapText="1"/>
    </xf>
    <xf numFmtId="0" fontId="0" fillId="0" borderId="24" xfId="0" applyBorder="1"/>
    <xf numFmtId="0" fontId="2" fillId="0" borderId="53" xfId="0" applyFont="1" applyBorder="1"/>
    <xf numFmtId="0" fontId="0" fillId="0" borderId="1" xfId="0" applyBorder="1" applyAlignment="1">
      <alignment horizontal="left" vertical="top"/>
    </xf>
    <xf numFmtId="0" fontId="17" fillId="0" borderId="1" xfId="0" applyFont="1"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2" fillId="2" borderId="1" xfId="1" applyFont="1" applyBorder="1" applyAlignment="1">
      <alignment horizontal="left" vertical="top"/>
    </xf>
    <xf numFmtId="0" fontId="2" fillId="0" borderId="1" xfId="0" applyFont="1" applyBorder="1" applyAlignment="1">
      <alignment horizontal="left" vertical="top"/>
    </xf>
    <xf numFmtId="0" fontId="0" fillId="2" borderId="1" xfId="1" applyFont="1" applyBorder="1" applyAlignment="1">
      <alignment vertical="center" wrapText="1"/>
    </xf>
    <xf numFmtId="0" fontId="0" fillId="2" borderId="1" xfId="1" applyFont="1" applyBorder="1" applyAlignment="1">
      <alignment horizontal="left" vertical="top" wrapText="1"/>
    </xf>
    <xf numFmtId="0" fontId="2" fillId="0" borderId="1" xfId="0" applyFont="1" applyBorder="1"/>
    <xf numFmtId="0" fontId="11" fillId="0" borderId="1" xfId="0" applyFont="1" applyBorder="1" applyAlignment="1">
      <alignment horizontal="left" vertical="top" wrapText="1"/>
    </xf>
    <xf numFmtId="11" fontId="0" fillId="0" borderId="1" xfId="0" applyNumberFormat="1" applyBorder="1"/>
    <xf numFmtId="0" fontId="0" fillId="0" borderId="1" xfId="0" applyBorder="1" applyAlignment="1">
      <alignment vertical="top" wrapText="1"/>
    </xf>
    <xf numFmtId="0" fontId="2" fillId="0" borderId="0" xfId="0" applyFont="1"/>
    <xf numFmtId="0" fontId="2" fillId="0" borderId="0" xfId="3" applyFont="1" applyFill="1" applyBorder="1" applyAlignment="1"/>
    <xf numFmtId="0" fontId="0" fillId="0" borderId="0" xfId="0" applyAlignment="1">
      <alignment horizontal="left" vertical="top"/>
    </xf>
    <xf numFmtId="0" fontId="1" fillId="0" borderId="0" xfId="1" applyFill="1" applyBorder="1" applyAlignment="1">
      <alignment horizontal="left" vertical="top" wrapText="1"/>
    </xf>
    <xf numFmtId="0" fontId="0" fillId="0" borderId="55" xfId="0" applyBorder="1" applyAlignment="1">
      <alignment horizontal="left" vertical="top"/>
    </xf>
    <xf numFmtId="0" fontId="0" fillId="0" borderId="39" xfId="0" applyBorder="1" applyAlignment="1">
      <alignment vertical="top" wrapText="1"/>
    </xf>
    <xf numFmtId="0" fontId="0" fillId="0" borderId="39" xfId="0" applyBorder="1" applyAlignment="1">
      <alignment horizontal="left" vertical="top" wrapText="1"/>
    </xf>
    <xf numFmtId="0" fontId="0" fillId="0" borderId="55" xfId="0" applyBorder="1" applyAlignment="1">
      <alignment horizontal="left" vertical="top" wrapText="1"/>
    </xf>
    <xf numFmtId="0" fontId="0" fillId="0" borderId="55" xfId="0" applyBorder="1" applyAlignment="1">
      <alignment vertical="top" wrapText="1"/>
    </xf>
    <xf numFmtId="0" fontId="18" fillId="0" borderId="1" xfId="0" applyFont="1" applyBorder="1" applyAlignment="1">
      <alignment horizontal="left" vertical="top"/>
    </xf>
    <xf numFmtId="165" fontId="18" fillId="0" borderId="1" xfId="0" applyNumberFormat="1" applyFont="1" applyBorder="1"/>
    <xf numFmtId="11" fontId="18" fillId="0" borderId="1" xfId="0" applyNumberFormat="1" applyFont="1" applyBorder="1"/>
    <xf numFmtId="0" fontId="18" fillId="0" borderId="1" xfId="0" applyFont="1" applyBorder="1"/>
    <xf numFmtId="0" fontId="18" fillId="0" borderId="1" xfId="0" applyFont="1" applyBorder="1" applyAlignment="1">
      <alignment horizontal="left" vertical="top" wrapText="1"/>
    </xf>
    <xf numFmtId="0" fontId="18" fillId="0" borderId="1" xfId="0" applyFont="1" applyBorder="1" applyAlignment="1">
      <alignment vertical="top"/>
    </xf>
    <xf numFmtId="0" fontId="11" fillId="6" borderId="47" xfId="0" applyFont="1" applyFill="1" applyBorder="1" applyAlignment="1">
      <alignment horizontal="left" vertical="top" wrapText="1"/>
    </xf>
    <xf numFmtId="0" fontId="11" fillId="6" borderId="58" xfId="0" applyFont="1" applyFill="1" applyBorder="1" applyAlignment="1">
      <alignment horizontal="left" vertical="top" wrapText="1"/>
    </xf>
    <xf numFmtId="0" fontId="14" fillId="6" borderId="44" xfId="0" applyFont="1" applyFill="1" applyBorder="1" applyAlignment="1">
      <alignment horizontal="left" vertical="top" wrapText="1"/>
    </xf>
    <xf numFmtId="0" fontId="14" fillId="6" borderId="45" xfId="0" applyFont="1" applyFill="1" applyBorder="1" applyAlignment="1">
      <alignment horizontal="left" vertical="top" wrapText="1"/>
    </xf>
    <xf numFmtId="0" fontId="14" fillId="6" borderId="46" xfId="0" applyFont="1" applyFill="1" applyBorder="1" applyAlignment="1">
      <alignment horizontal="left" vertical="top" wrapText="1"/>
    </xf>
    <xf numFmtId="0" fontId="18" fillId="0" borderId="0" xfId="0" applyFont="1" applyAlignment="1">
      <alignment horizontal="left" vertical="top" wrapText="1"/>
    </xf>
    <xf numFmtId="0" fontId="18" fillId="0" borderId="54" xfId="0" applyFont="1" applyBorder="1" applyAlignment="1">
      <alignment horizontal="left" vertical="top" wrapText="1"/>
    </xf>
    <xf numFmtId="0" fontId="14" fillId="6" borderId="0" xfId="0" applyFont="1" applyFill="1" applyAlignment="1">
      <alignment horizontal="left" vertical="top" wrapText="1"/>
    </xf>
    <xf numFmtId="0" fontId="18" fillId="0" borderId="39" xfId="0" applyFont="1" applyBorder="1" applyAlignment="1">
      <alignment horizontal="left" vertical="top" wrapText="1"/>
    </xf>
    <xf numFmtId="0" fontId="18" fillId="0" borderId="54" xfId="0" applyFont="1" applyBorder="1" applyAlignment="1">
      <alignment horizontal="left" vertical="top"/>
    </xf>
    <xf numFmtId="0" fontId="18" fillId="0" borderId="3" xfId="0" applyFont="1" applyBorder="1" applyAlignment="1">
      <alignment horizontal="left" vertical="top" wrapText="1"/>
    </xf>
    <xf numFmtId="0" fontId="0" fillId="0" borderId="16" xfId="0" applyBorder="1"/>
    <xf numFmtId="0" fontId="2" fillId="0" borderId="56" xfId="0" applyFont="1" applyBorder="1"/>
    <xf numFmtId="0" fontId="2" fillId="0" borderId="6" xfId="0" applyFont="1" applyBorder="1"/>
    <xf numFmtId="0" fontId="18" fillId="0" borderId="1" xfId="0" applyFont="1" applyBorder="1" applyAlignment="1">
      <alignment vertical="top" wrapText="1"/>
    </xf>
    <xf numFmtId="0" fontId="18" fillId="0" borderId="1" xfId="0" quotePrefix="1" applyFont="1" applyBorder="1" applyAlignment="1">
      <alignment horizontal="left" vertical="top" wrapText="1"/>
    </xf>
    <xf numFmtId="0" fontId="20" fillId="0" borderId="1" xfId="0" applyFont="1" applyBorder="1" applyAlignment="1">
      <alignment horizontal="left" vertical="top" wrapText="1"/>
    </xf>
    <xf numFmtId="0" fontId="21" fillId="3" borderId="1" xfId="0" applyFont="1" applyFill="1" applyBorder="1" applyAlignment="1">
      <alignment horizontal="left" vertical="top"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0" fillId="3" borderId="1" xfId="0" applyFill="1" applyBorder="1" applyAlignment="1">
      <alignment vertical="top"/>
    </xf>
    <xf numFmtId="0" fontId="0" fillId="3" borderId="1" xfId="0" applyFill="1" applyBorder="1" applyAlignment="1">
      <alignment horizontal="center" vertical="top" wrapText="1"/>
    </xf>
    <xf numFmtId="0" fontId="23" fillId="0" borderId="0" xfId="0" applyFont="1"/>
    <xf numFmtId="0" fontId="0" fillId="0" borderId="1" xfId="0" applyBorder="1" applyAlignment="1">
      <alignment horizontal="center" vertical="top" wrapText="1"/>
    </xf>
    <xf numFmtId="0" fontId="0" fillId="0" borderId="0" xfId="0" applyAlignment="1">
      <alignment horizontal="right"/>
    </xf>
    <xf numFmtId="49" fontId="0" fillId="0" borderId="0" xfId="0" applyNumberFormat="1" applyAlignment="1">
      <alignment horizontal="right"/>
    </xf>
    <xf numFmtId="164" fontId="0" fillId="0" borderId="0" xfId="0" applyNumberFormat="1" applyAlignment="1">
      <alignment horizontal="center"/>
    </xf>
    <xf numFmtId="0" fontId="0" fillId="3" borderId="1" xfId="0" applyFill="1" applyBorder="1" applyAlignment="1">
      <alignment vertical="top" wrapText="1"/>
    </xf>
    <xf numFmtId="0" fontId="0" fillId="0" borderId="0" xfId="0" applyAlignment="1">
      <alignment horizontal="center" vertical="top" wrapText="1"/>
    </xf>
    <xf numFmtId="0" fontId="0" fillId="0" borderId="0" xfId="0" applyAlignment="1">
      <alignment vertical="top"/>
    </xf>
    <xf numFmtId="0" fontId="24" fillId="0" borderId="0" xfId="0" applyFont="1"/>
    <xf numFmtId="0" fontId="25" fillId="0" borderId="0" xfId="0" applyFont="1"/>
    <xf numFmtId="0" fontId="26" fillId="0" borderId="0" xfId="0" applyFont="1"/>
    <xf numFmtId="0" fontId="23" fillId="0" borderId="0" xfId="0" applyFont="1" applyAlignment="1">
      <alignment vertical="center"/>
    </xf>
    <xf numFmtId="0" fontId="27" fillId="0" borderId="0" xfId="0" applyFont="1"/>
    <xf numFmtId="49" fontId="0" fillId="0" borderId="0" xfId="0" applyNumberFormat="1" applyAlignment="1">
      <alignment horizontal="center"/>
    </xf>
    <xf numFmtId="2" fontId="0" fillId="0" borderId="0" xfId="0" applyNumberFormat="1" applyAlignment="1">
      <alignment horizontal="center"/>
    </xf>
    <xf numFmtId="0" fontId="0" fillId="0" borderId="65" xfId="0" applyBorder="1"/>
    <xf numFmtId="0" fontId="0" fillId="3" borderId="67" xfId="0" applyFill="1" applyBorder="1" applyAlignment="1">
      <alignment vertical="top"/>
    </xf>
    <xf numFmtId="0" fontId="0" fillId="3" borderId="68" xfId="0" applyFill="1" applyBorder="1" applyAlignment="1">
      <alignment horizontal="center" vertical="top" wrapText="1"/>
    </xf>
    <xf numFmtId="0" fontId="0" fillId="0" borderId="70" xfId="0" applyBorder="1" applyAlignment="1">
      <alignment horizontal="center" vertical="top" wrapText="1"/>
    </xf>
    <xf numFmtId="0" fontId="0" fillId="3" borderId="72" xfId="0" applyFill="1" applyBorder="1" applyAlignment="1">
      <alignment vertical="top" wrapText="1"/>
    </xf>
    <xf numFmtId="0" fontId="0" fillId="3" borderId="73" xfId="0" applyFill="1" applyBorder="1" applyAlignment="1">
      <alignment horizontal="center" vertical="top" wrapText="1"/>
    </xf>
    <xf numFmtId="0" fontId="28" fillId="0" borderId="0" xfId="0" applyFont="1"/>
    <xf numFmtId="0" fontId="19" fillId="0" borderId="0" xfId="3" applyFont="1" applyFill="1" applyBorder="1" applyAlignment="1"/>
    <xf numFmtId="0" fontId="20" fillId="0" borderId="0" xfId="0" applyFont="1"/>
    <xf numFmtId="0" fontId="19" fillId="4" borderId="1" xfId="3" applyFont="1" applyBorder="1" applyAlignment="1">
      <alignment horizontal="center" vertical="top" wrapText="1"/>
    </xf>
    <xf numFmtId="0" fontId="18" fillId="0" borderId="56" xfId="0" applyFont="1" applyBorder="1" applyAlignment="1">
      <alignment horizontal="left" vertical="top" wrapText="1"/>
    </xf>
    <xf numFmtId="0" fontId="0" fillId="0" borderId="1" xfId="1" applyFont="1" applyFill="1" applyBorder="1" applyAlignment="1">
      <alignment horizontal="left" vertical="top" wrapText="1"/>
    </xf>
    <xf numFmtId="0" fontId="0" fillId="0" borderId="39" xfId="1" applyFont="1" applyFill="1" applyBorder="1" applyAlignment="1">
      <alignment horizontal="center" vertical="top"/>
    </xf>
    <xf numFmtId="0" fontId="2" fillId="0" borderId="0" xfId="0" applyFont="1" applyAlignment="1">
      <alignment horizontal="left" vertical="top"/>
    </xf>
    <xf numFmtId="0" fontId="0" fillId="0" borderId="2" xfId="1" applyFont="1" applyFill="1" applyBorder="1" applyAlignment="1">
      <alignment horizontal="center" vertical="top"/>
    </xf>
    <xf numFmtId="11" fontId="0" fillId="0" borderId="1" xfId="0" applyNumberFormat="1" applyBorder="1" applyAlignment="1">
      <alignment vertical="top"/>
    </xf>
    <xf numFmtId="11" fontId="18" fillId="0" borderId="1" xfId="0" applyNumberFormat="1" applyFont="1" applyBorder="1" applyAlignment="1">
      <alignment vertical="top"/>
    </xf>
    <xf numFmtId="0" fontId="0" fillId="0" borderId="56" xfId="0" applyBorder="1"/>
    <xf numFmtId="11" fontId="0" fillId="0" borderId="1" xfId="0" applyNumberFormat="1" applyBorder="1" applyAlignment="1">
      <alignment vertical="center"/>
    </xf>
    <xf numFmtId="0" fontId="11" fillId="0" borderId="1" xfId="0" applyFont="1" applyBorder="1" applyAlignment="1">
      <alignment horizontal="left" vertical="top"/>
    </xf>
    <xf numFmtId="0" fontId="19" fillId="0" borderId="0" xfId="0" applyFont="1"/>
    <xf numFmtId="0" fontId="29" fillId="8" borderId="1" xfId="0" applyFont="1" applyFill="1" applyBorder="1"/>
    <xf numFmtId="0" fontId="2" fillId="7" borderId="1" xfId="0" applyFont="1" applyFill="1" applyBorder="1" applyAlignment="1">
      <alignment horizontal="left" vertical="top"/>
    </xf>
    <xf numFmtId="0" fontId="19" fillId="7"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39" xfId="0" applyFill="1" applyBorder="1" applyAlignment="1">
      <alignment vertical="top" wrapText="1"/>
    </xf>
    <xf numFmtId="0" fontId="0" fillId="3" borderId="55" xfId="0" applyFill="1" applyBorder="1" applyAlignment="1">
      <alignment vertical="top" wrapText="1"/>
    </xf>
    <xf numFmtId="0" fontId="0" fillId="3" borderId="1" xfId="0" applyFill="1" applyBorder="1" applyAlignment="1">
      <alignment wrapText="1"/>
    </xf>
    <xf numFmtId="0" fontId="0" fillId="3" borderId="1" xfId="0" applyFill="1" applyBorder="1"/>
    <xf numFmtId="0" fontId="0" fillId="3" borderId="55" xfId="0" applyFill="1" applyBorder="1" applyAlignment="1">
      <alignment horizontal="left" vertical="top" wrapText="1"/>
    </xf>
    <xf numFmtId="0" fontId="20" fillId="0" borderId="0" xfId="0" applyFont="1" applyAlignment="1">
      <alignment horizontal="left" vertical="top" wrapText="1"/>
    </xf>
    <xf numFmtId="0" fontId="18" fillId="0" borderId="56" xfId="0" applyFont="1" applyBorder="1"/>
    <xf numFmtId="0" fontId="2" fillId="10" borderId="78" xfId="5" applyFont="1" applyFill="1" applyBorder="1"/>
    <xf numFmtId="0" fontId="2" fillId="0" borderId="0" xfId="4" applyFont="1" applyFill="1" applyBorder="1" applyAlignment="1"/>
    <xf numFmtId="0" fontId="2" fillId="10" borderId="78" xfId="1" applyFont="1" applyFill="1" applyBorder="1"/>
    <xf numFmtId="9" fontId="0" fillId="10" borderId="78" xfId="0" applyNumberFormat="1" applyFill="1" applyBorder="1" applyAlignment="1">
      <alignment horizontal="left" vertical="top"/>
    </xf>
    <xf numFmtId="0" fontId="0" fillId="7" borderId="1" xfId="0" applyFill="1" applyBorder="1" applyAlignment="1">
      <alignment horizontal="left" vertical="top"/>
    </xf>
    <xf numFmtId="166" fontId="0" fillId="10" borderId="78" xfId="0" applyNumberFormat="1" applyFill="1" applyBorder="1" applyAlignment="1">
      <alignment horizontal="left" vertical="top"/>
    </xf>
    <xf numFmtId="0" fontId="0" fillId="7" borderId="1" xfId="0" quotePrefix="1" applyFill="1" applyBorder="1" applyAlignment="1">
      <alignment horizontal="left" vertical="top"/>
    </xf>
    <xf numFmtId="0" fontId="2" fillId="7" borderId="56" xfId="0" applyFont="1" applyFill="1" applyBorder="1"/>
    <xf numFmtId="0" fontId="0" fillId="0" borderId="1" xfId="0" applyBorder="1" applyAlignment="1">
      <alignment wrapText="1"/>
    </xf>
    <xf numFmtId="0" fontId="0" fillId="3" borderId="1" xfId="0" applyFill="1" applyBorder="1" applyAlignment="1">
      <alignment horizontal="left" vertical="top"/>
    </xf>
    <xf numFmtId="0" fontId="0" fillId="0" borderId="0" xfId="0" quotePrefix="1" applyAlignment="1">
      <alignment vertical="top" wrapText="1"/>
    </xf>
    <xf numFmtId="0" fontId="18" fillId="0" borderId="39" xfId="0" applyFont="1" applyBorder="1" applyAlignment="1">
      <alignment vertical="top" wrapText="1"/>
    </xf>
    <xf numFmtId="0" fontId="22" fillId="0" borderId="0" xfId="0" applyFont="1" applyAlignment="1">
      <alignment horizontal="left" vertical="top" wrapText="1"/>
    </xf>
    <xf numFmtId="0" fontId="20" fillId="0" borderId="1" xfId="0" quotePrefix="1" applyFont="1" applyBorder="1" applyAlignment="1">
      <alignment horizontal="left" vertical="top" wrapText="1"/>
    </xf>
    <xf numFmtId="0" fontId="0" fillId="0" borderId="56" xfId="0" applyBorder="1" applyAlignment="1">
      <alignment vertical="top" wrapText="1"/>
    </xf>
    <xf numFmtId="0" fontId="0" fillId="3" borderId="75" xfId="0" applyFill="1" applyBorder="1" applyAlignment="1">
      <alignment vertical="top" wrapText="1"/>
    </xf>
    <xf numFmtId="0" fontId="0" fillId="3" borderId="82" xfId="0" applyFill="1" applyBorder="1" applyAlignment="1">
      <alignment vertical="top" wrapText="1"/>
    </xf>
    <xf numFmtId="0" fontId="0" fillId="3" borderId="77" xfId="0" applyFill="1" applyBorder="1" applyAlignment="1">
      <alignment vertical="top" wrapText="1"/>
    </xf>
    <xf numFmtId="0" fontId="0" fillId="11" borderId="1" xfId="0" applyFill="1" applyBorder="1"/>
    <xf numFmtId="165" fontId="18" fillId="11" borderId="1" xfId="0" applyNumberFormat="1" applyFont="1" applyFill="1" applyBorder="1"/>
    <xf numFmtId="11" fontId="18" fillId="11" borderId="1" xfId="0" applyNumberFormat="1" applyFont="1" applyFill="1" applyBorder="1"/>
    <xf numFmtId="11" fontId="0" fillId="11" borderId="1" xfId="0" applyNumberFormat="1" applyFill="1" applyBorder="1"/>
    <xf numFmtId="11" fontId="18" fillId="11" borderId="1" xfId="0" applyNumberFormat="1" applyFont="1" applyFill="1" applyBorder="1" applyAlignment="1">
      <alignment vertical="top"/>
    </xf>
    <xf numFmtId="11" fontId="0" fillId="11" borderId="1" xfId="0" applyNumberFormat="1" applyFill="1" applyBorder="1" applyAlignment="1">
      <alignment vertical="center"/>
    </xf>
    <xf numFmtId="11" fontId="0" fillId="0" borderId="0" xfId="0" applyNumberFormat="1"/>
    <xf numFmtId="0" fontId="0" fillId="0" borderId="1" xfId="0" applyBorder="1" applyAlignment="1">
      <alignment horizontal="left" vertical="top" wrapText="1"/>
    </xf>
    <xf numFmtId="0" fontId="21" fillId="0" borderId="1" xfId="0" applyFont="1" applyBorder="1" applyAlignment="1">
      <alignment horizontal="left" vertical="top" wrapText="1"/>
    </xf>
    <xf numFmtId="0" fontId="0" fillId="11" borderId="0" xfId="0" applyFill="1"/>
    <xf numFmtId="0" fontId="0" fillId="11" borderId="1" xfId="0" applyFill="1" applyBorder="1" applyAlignment="1">
      <alignment horizontal="left" vertical="top"/>
    </xf>
    <xf numFmtId="0" fontId="0" fillId="11" borderId="1" xfId="0" quotePrefix="1" applyFill="1" applyBorder="1" applyAlignment="1">
      <alignment horizontal="left" vertical="top"/>
    </xf>
    <xf numFmtId="0" fontId="2" fillId="11" borderId="1" xfId="0" applyFont="1" applyFill="1" applyBorder="1" applyAlignment="1">
      <alignment horizontal="left" vertical="top"/>
    </xf>
    <xf numFmtId="0" fontId="0" fillId="12" borderId="1" xfId="0" applyFill="1" applyBorder="1" applyAlignment="1">
      <alignment horizontal="left" vertical="top" wrapText="1"/>
    </xf>
    <xf numFmtId="11" fontId="0" fillId="12" borderId="1" xfId="0" applyNumberFormat="1" applyFill="1" applyBorder="1"/>
    <xf numFmtId="11" fontId="18" fillId="12" borderId="1" xfId="0" applyNumberFormat="1" applyFont="1" applyFill="1" applyBorder="1"/>
    <xf numFmtId="0" fontId="2" fillId="13" borderId="0" xfId="0" applyFont="1" applyFill="1"/>
    <xf numFmtId="0" fontId="2" fillId="14" borderId="0" xfId="0" applyFont="1" applyFill="1"/>
    <xf numFmtId="0" fontId="3" fillId="0" borderId="0" xfId="0" applyFont="1" applyAlignment="1">
      <alignment horizontal="left"/>
    </xf>
    <xf numFmtId="0" fontId="12" fillId="3" borderId="26" xfId="0" applyFont="1" applyFill="1" applyBorder="1" applyAlignment="1">
      <alignment horizontal="left"/>
    </xf>
    <xf numFmtId="0" fontId="5" fillId="3" borderId="37" xfId="0" applyFont="1" applyFill="1" applyBorder="1" applyAlignment="1">
      <alignment horizontal="left"/>
    </xf>
    <xf numFmtId="0" fontId="12" fillId="0" borderId="17" xfId="0" applyFont="1" applyBorder="1" applyAlignment="1">
      <alignment horizontal="left"/>
    </xf>
    <xf numFmtId="0" fontId="5" fillId="0" borderId="18" xfId="0" applyFont="1" applyBorder="1" applyAlignment="1">
      <alignment horizontal="left"/>
    </xf>
    <xf numFmtId="0" fontId="0" fillId="0" borderId="0" xfId="0" applyAlignment="1">
      <alignment horizontal="left"/>
    </xf>
    <xf numFmtId="0" fontId="0" fillId="3" borderId="54" xfId="0" applyFill="1" applyBorder="1" applyAlignment="1">
      <alignment horizontal="left" vertical="top" wrapText="1"/>
    </xf>
    <xf numFmtId="0" fontId="0" fillId="3" borderId="56" xfId="0" applyFill="1" applyBorder="1" applyAlignment="1">
      <alignment horizontal="left" vertical="top" wrapText="1"/>
    </xf>
    <xf numFmtId="0" fontId="0" fillId="7" borderId="54" xfId="0" applyFill="1" applyBorder="1" applyAlignment="1">
      <alignment horizontal="left" vertical="top"/>
    </xf>
    <xf numFmtId="0" fontId="0" fillId="7" borderId="56" xfId="0" applyFill="1" applyBorder="1" applyAlignment="1">
      <alignment horizontal="left" vertical="top"/>
    </xf>
    <xf numFmtId="0" fontId="2" fillId="10" borderId="22" xfId="4" applyFont="1" applyFill="1" applyBorder="1" applyAlignment="1">
      <alignment horizontal="center"/>
    </xf>
    <xf numFmtId="0" fontId="2" fillId="10" borderId="23" xfId="4" applyFont="1" applyFill="1" applyBorder="1" applyAlignment="1">
      <alignment horizontal="center"/>
    </xf>
    <xf numFmtId="0" fontId="2" fillId="10" borderId="24" xfId="4" applyFont="1" applyFill="1" applyBorder="1" applyAlignment="1">
      <alignment horizontal="center"/>
    </xf>
    <xf numFmtId="0" fontId="19" fillId="10" borderId="22" xfId="3" applyFont="1" applyFill="1" applyBorder="1" applyAlignment="1">
      <alignment horizontal="center"/>
    </xf>
    <xf numFmtId="0" fontId="19" fillId="10" borderId="23" xfId="3" applyFont="1" applyFill="1" applyBorder="1" applyAlignment="1">
      <alignment horizontal="center"/>
    </xf>
    <xf numFmtId="0" fontId="19" fillId="10" borderId="24" xfId="3" applyFont="1" applyFill="1" applyBorder="1" applyAlignment="1">
      <alignment horizontal="center"/>
    </xf>
    <xf numFmtId="0" fontId="0" fillId="0" borderId="54" xfId="0" applyBorder="1" applyAlignment="1">
      <alignment horizontal="left" vertical="top" wrapText="1"/>
    </xf>
    <xf numFmtId="0" fontId="0" fillId="0" borderId="56" xfId="0" applyBorder="1" applyAlignment="1">
      <alignment horizontal="left" vertical="top" wrapText="1"/>
    </xf>
    <xf numFmtId="0" fontId="19" fillId="10" borderId="81" xfId="3" applyFont="1" applyFill="1" applyBorder="1" applyAlignment="1">
      <alignment horizontal="center"/>
    </xf>
    <xf numFmtId="0" fontId="0" fillId="0" borderId="54" xfId="0" applyBorder="1" applyAlignment="1">
      <alignment vertical="top"/>
    </xf>
    <xf numFmtId="0" fontId="0" fillId="0" borderId="56" xfId="0" applyBorder="1" applyAlignment="1">
      <alignment vertical="top"/>
    </xf>
    <xf numFmtId="0" fontId="0" fillId="0" borderId="54" xfId="0" applyBorder="1" applyAlignment="1">
      <alignment horizontal="left" vertical="top"/>
    </xf>
    <xf numFmtId="0" fontId="0" fillId="0" borderId="56" xfId="0" applyBorder="1" applyAlignment="1">
      <alignment horizontal="left" vertical="top"/>
    </xf>
    <xf numFmtId="0" fontId="19" fillId="10" borderId="53" xfId="3" applyFont="1" applyFill="1" applyBorder="1" applyAlignment="1">
      <alignment horizontal="center"/>
    </xf>
    <xf numFmtId="0" fontId="2" fillId="10" borderId="79" xfId="3" applyFont="1" applyFill="1" applyBorder="1" applyAlignment="1">
      <alignment horizontal="center"/>
    </xf>
    <xf numFmtId="0" fontId="2" fillId="10" borderId="80" xfId="3" applyFont="1" applyFill="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1" fillId="2" borderId="12" xfId="1" applyBorder="1" applyAlignment="1">
      <alignment horizontal="center"/>
    </xf>
    <xf numFmtId="0" fontId="1" fillId="2" borderId="1" xfId="1" applyBorder="1" applyAlignment="1">
      <alignment horizontal="center"/>
    </xf>
    <xf numFmtId="0" fontId="1" fillId="2" borderId="13" xfId="1" applyBorder="1" applyAlignment="1">
      <alignment horizontal="center"/>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1" fillId="2" borderId="29" xfId="1" applyBorder="1" applyAlignment="1">
      <alignment horizontal="center"/>
    </xf>
    <xf numFmtId="0" fontId="1" fillId="2" borderId="30" xfId="1" applyBorder="1" applyAlignment="1">
      <alignment horizontal="center"/>
    </xf>
    <xf numFmtId="0" fontId="1" fillId="2" borderId="31" xfId="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3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3"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35" xfId="0" applyBorder="1" applyAlignment="1">
      <alignment horizontal="left"/>
    </xf>
    <xf numFmtId="0" fontId="0" fillId="0" borderId="4" xfId="0" applyBorder="1" applyAlignment="1">
      <alignment horizontal="left"/>
    </xf>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9" xfId="0" applyBorder="1" applyAlignment="1">
      <alignment horizontal="left" vertical="top" wrapText="1"/>
    </xf>
    <xf numFmtId="0" fontId="1" fillId="2" borderId="7"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15"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19" fillId="4" borderId="1" xfId="3" applyFont="1" applyBorder="1" applyAlignment="1">
      <alignment horizontal="center"/>
    </xf>
    <xf numFmtId="0" fontId="19" fillId="4" borderId="1" xfId="3" applyFont="1" applyBorder="1" applyAlignment="1">
      <alignment horizontal="center" vertical="top" wrapText="1"/>
    </xf>
    <xf numFmtId="0" fontId="2" fillId="4" borderId="1" xfId="3" applyFont="1" applyBorder="1" applyAlignment="1">
      <alignment horizontal="center"/>
    </xf>
    <xf numFmtId="0" fontId="2" fillId="0" borderId="39" xfId="0" applyFont="1" applyBorder="1" applyAlignment="1">
      <alignment horizontal="center"/>
    </xf>
    <xf numFmtId="0" fontId="2" fillId="0" borderId="2" xfId="0" applyFont="1"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2" fillId="0" borderId="39" xfId="0" applyFont="1" applyBorder="1" applyAlignment="1">
      <alignment horizontal="left" vertical="top"/>
    </xf>
    <xf numFmtId="0" fontId="2" fillId="0" borderId="2" xfId="0" applyFont="1" applyBorder="1" applyAlignment="1">
      <alignment horizontal="left" vertical="top"/>
    </xf>
    <xf numFmtId="0" fontId="0" fillId="2" borderId="1" xfId="1" applyFont="1" applyBorder="1" applyAlignment="1">
      <alignment horizontal="left" vertical="top"/>
    </xf>
    <xf numFmtId="0" fontId="1" fillId="2" borderId="1" xfId="1" applyBorder="1" applyAlignment="1">
      <alignment horizontal="left" vertical="top"/>
    </xf>
    <xf numFmtId="0" fontId="1" fillId="2" borderId="1" xfId="1" applyBorder="1" applyAlignment="1">
      <alignment horizontal="left" vertical="top" wrapText="1"/>
    </xf>
    <xf numFmtId="0" fontId="0" fillId="0" borderId="39" xfId="0" applyBorder="1" applyAlignment="1">
      <alignment horizontal="left" vertical="top" wrapText="1"/>
    </xf>
    <xf numFmtId="0" fontId="0" fillId="0" borderId="2" xfId="0" applyBorder="1" applyAlignment="1">
      <alignment horizontal="left" vertical="top"/>
    </xf>
    <xf numFmtId="0" fontId="0" fillId="0" borderId="39" xfId="0" applyBorder="1" applyAlignment="1">
      <alignment horizontal="left" vertical="top"/>
    </xf>
    <xf numFmtId="0" fontId="0" fillId="0" borderId="2" xfId="0" applyBorder="1" applyAlignment="1">
      <alignment horizontal="left" vertical="top" wrapText="1"/>
    </xf>
    <xf numFmtId="0" fontId="0" fillId="0" borderId="39" xfId="1" applyFont="1" applyFill="1" applyBorder="1" applyAlignment="1">
      <alignment horizontal="center" vertical="top"/>
    </xf>
    <xf numFmtId="0" fontId="0" fillId="0" borderId="2" xfId="1" applyFont="1" applyFill="1" applyBorder="1" applyAlignment="1">
      <alignment horizontal="center" vertical="top"/>
    </xf>
    <xf numFmtId="0" fontId="2" fillId="7" borderId="54" xfId="0" applyFont="1" applyFill="1" applyBorder="1" applyAlignment="1">
      <alignment horizontal="left" vertical="top"/>
    </xf>
    <xf numFmtId="0" fontId="2" fillId="7" borderId="57" xfId="0" applyFont="1" applyFill="1" applyBorder="1" applyAlignment="1">
      <alignment horizontal="left" vertical="top"/>
    </xf>
    <xf numFmtId="0" fontId="2" fillId="7" borderId="56" xfId="0" applyFont="1" applyFill="1" applyBorder="1" applyAlignment="1">
      <alignment horizontal="left" vertical="top"/>
    </xf>
    <xf numFmtId="0" fontId="2" fillId="11" borderId="54" xfId="0" applyFont="1" applyFill="1" applyBorder="1" applyAlignment="1">
      <alignment horizontal="left" vertical="top"/>
    </xf>
    <xf numFmtId="0" fontId="2" fillId="11" borderId="56" xfId="0" applyFont="1" applyFill="1" applyBorder="1" applyAlignment="1">
      <alignment horizontal="left" vertical="top"/>
    </xf>
    <xf numFmtId="0" fontId="2" fillId="4" borderId="1" xfId="3" applyFont="1" applyBorder="1" applyAlignment="1">
      <alignment horizontal="center" vertical="top" wrapText="1"/>
    </xf>
    <xf numFmtId="0" fontId="2" fillId="5" borderId="29" xfId="4" applyFont="1" applyBorder="1" applyAlignment="1">
      <alignment horizontal="center"/>
    </xf>
    <xf numFmtId="0" fontId="2" fillId="5" borderId="30" xfId="4" applyFont="1" applyBorder="1" applyAlignment="1">
      <alignment horizontal="center"/>
    </xf>
    <xf numFmtId="0" fontId="2" fillId="5" borderId="31" xfId="4" applyFont="1" applyBorder="1" applyAlignment="1">
      <alignment horizontal="center"/>
    </xf>
    <xf numFmtId="0" fontId="0" fillId="3" borderId="57" xfId="0" applyFill="1" applyBorder="1" applyAlignment="1">
      <alignment horizontal="left" vertical="top" wrapText="1"/>
    </xf>
    <xf numFmtId="0" fontId="0" fillId="3" borderId="54" xfId="0" applyFill="1" applyBorder="1" applyAlignment="1">
      <alignment horizontal="center" vertical="top"/>
    </xf>
    <xf numFmtId="0" fontId="0" fillId="3" borderId="57" xfId="0" applyFill="1" applyBorder="1" applyAlignment="1">
      <alignment horizontal="center" vertical="top"/>
    </xf>
    <xf numFmtId="0" fontId="0" fillId="3" borderId="56" xfId="0" applyFill="1" applyBorder="1" applyAlignment="1">
      <alignment horizontal="center" vertical="top"/>
    </xf>
    <xf numFmtId="0" fontId="0" fillId="3" borderId="54" xfId="0" applyFill="1" applyBorder="1" applyAlignment="1">
      <alignment horizontal="center" vertical="top" wrapText="1"/>
    </xf>
    <xf numFmtId="0" fontId="0" fillId="3" borderId="57" xfId="0" applyFill="1" applyBorder="1" applyAlignment="1">
      <alignment horizontal="center" vertical="top" wrapText="1"/>
    </xf>
    <xf numFmtId="0" fontId="0" fillId="3" borderId="56" xfId="0" applyFill="1" applyBorder="1" applyAlignment="1">
      <alignment horizontal="center" vertical="top" wrapText="1"/>
    </xf>
    <xf numFmtId="0" fontId="14" fillId="0" borderId="41" xfId="0" applyFont="1" applyBorder="1" applyAlignment="1">
      <alignment horizontal="left" vertical="top" wrapText="1"/>
    </xf>
    <xf numFmtId="0" fontId="14" fillId="0" borderId="42" xfId="0" applyFont="1" applyBorder="1" applyAlignment="1">
      <alignment horizontal="left" vertical="top" wrapText="1"/>
    </xf>
    <xf numFmtId="0" fontId="14" fillId="0" borderId="48" xfId="0" applyFont="1" applyBorder="1" applyAlignment="1">
      <alignment horizontal="left" vertical="top" wrapText="1"/>
    </xf>
    <xf numFmtId="0" fontId="14" fillId="0" borderId="43" xfId="0" applyFont="1" applyBorder="1" applyAlignment="1">
      <alignment horizontal="left" vertical="top" wrapText="1"/>
    </xf>
    <xf numFmtId="0" fontId="11" fillId="0" borderId="49" xfId="0" applyFont="1" applyBorder="1" applyAlignment="1">
      <alignment horizontal="left" vertical="top" wrapText="1"/>
    </xf>
    <xf numFmtId="0" fontId="11" fillId="0" borderId="47" xfId="0" applyFont="1" applyBorder="1" applyAlignment="1">
      <alignment horizontal="left" vertical="top" wrapText="1"/>
    </xf>
    <xf numFmtId="0" fontId="11" fillId="0" borderId="44"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52" xfId="0" applyFont="1" applyBorder="1" applyAlignment="1">
      <alignment horizontal="left" vertical="top" wrapText="1"/>
    </xf>
    <xf numFmtId="0" fontId="2" fillId="2" borderId="1" xfId="1" applyFont="1" applyBorder="1" applyAlignment="1">
      <alignment horizontal="left" vertical="top"/>
    </xf>
    <xf numFmtId="0" fontId="16" fillId="0" borderId="1" xfId="0" applyFont="1" applyBorder="1" applyAlignment="1">
      <alignment horizontal="left" vertical="top" wrapText="1"/>
    </xf>
    <xf numFmtId="0" fontId="0" fillId="3" borderId="54" xfId="0" applyFill="1" applyBorder="1" applyAlignment="1">
      <alignment horizontal="left" vertical="top"/>
    </xf>
    <xf numFmtId="0" fontId="0" fillId="3" borderId="56" xfId="0" applyFill="1" applyBorder="1" applyAlignment="1">
      <alignment horizontal="left" vertical="top"/>
    </xf>
    <xf numFmtId="0" fontId="0" fillId="3" borderId="57" xfId="0" applyFill="1" applyBorder="1" applyAlignment="1">
      <alignment horizontal="left" vertical="top"/>
    </xf>
    <xf numFmtId="0" fontId="0" fillId="0" borderId="57" xfId="0" applyBorder="1" applyAlignment="1">
      <alignment horizontal="left" vertical="top" wrapText="1"/>
    </xf>
    <xf numFmtId="0" fontId="19" fillId="7" borderId="54" xfId="0" applyFont="1" applyFill="1" applyBorder="1" applyAlignment="1">
      <alignment horizontal="left" vertical="top"/>
    </xf>
    <xf numFmtId="0" fontId="19" fillId="7" borderId="57" xfId="0" applyFont="1" applyFill="1" applyBorder="1" applyAlignment="1">
      <alignment horizontal="left" vertical="top"/>
    </xf>
    <xf numFmtId="0" fontId="19" fillId="7" borderId="56" xfId="0" applyFont="1" applyFill="1" applyBorder="1" applyAlignment="1">
      <alignment horizontal="left" vertical="top"/>
    </xf>
    <xf numFmtId="0" fontId="0" fillId="0" borderId="57" xfId="0" applyBorder="1" applyAlignment="1">
      <alignment horizontal="left" vertical="top"/>
    </xf>
    <xf numFmtId="0" fontId="19" fillId="7" borderId="54" xfId="0" applyFont="1" applyFill="1" applyBorder="1" applyAlignment="1">
      <alignment horizontal="left" vertical="top" wrapText="1"/>
    </xf>
    <xf numFmtId="0" fontId="19" fillId="7" borderId="57" xfId="0" applyFont="1" applyFill="1" applyBorder="1" applyAlignment="1">
      <alignment horizontal="left" vertical="top" wrapText="1"/>
    </xf>
    <xf numFmtId="0" fontId="19" fillId="7" borderId="56" xfId="0" applyFont="1" applyFill="1" applyBorder="1" applyAlignment="1">
      <alignment horizontal="left" vertical="top" wrapText="1"/>
    </xf>
    <xf numFmtId="0" fontId="22" fillId="0" borderId="1" xfId="0" applyFont="1" applyBorder="1" applyAlignment="1">
      <alignment horizontal="left" vertical="top" wrapText="1"/>
    </xf>
    <xf numFmtId="0" fontId="21" fillId="0" borderId="1" xfId="0" applyFont="1" applyBorder="1" applyAlignment="1">
      <alignment horizontal="left" vertical="top" wrapText="1"/>
    </xf>
    <xf numFmtId="0" fontId="18" fillId="0" borderId="54" xfId="0" quotePrefix="1" applyFont="1" applyBorder="1" applyAlignment="1">
      <alignment horizontal="left" vertical="top" wrapText="1"/>
    </xf>
    <xf numFmtId="0" fontId="19" fillId="11" borderId="54" xfId="0" applyFont="1" applyFill="1" applyBorder="1" applyAlignment="1">
      <alignment horizontal="left" vertical="top" wrapText="1"/>
    </xf>
    <xf numFmtId="0" fontId="19" fillId="11" borderId="56" xfId="0" applyFont="1" applyFill="1" applyBorder="1" applyAlignment="1">
      <alignment horizontal="left" vertical="top" wrapText="1"/>
    </xf>
    <xf numFmtId="0" fontId="2" fillId="2" borderId="62" xfId="1" applyFont="1" applyBorder="1" applyAlignment="1">
      <alignment horizontal="center" vertical="top"/>
    </xf>
    <xf numFmtId="0" fontId="2" fillId="2" borderId="63" xfId="1" applyFont="1" applyBorder="1" applyAlignment="1">
      <alignment horizontal="center" vertical="top"/>
    </xf>
    <xf numFmtId="0" fontId="2" fillId="2" borderId="64" xfId="1" applyFont="1" applyBorder="1" applyAlignment="1">
      <alignment horizontal="center" vertical="top"/>
    </xf>
    <xf numFmtId="0" fontId="19" fillId="11" borderId="54" xfId="0" applyFont="1" applyFill="1" applyBorder="1" applyAlignment="1">
      <alignment horizontal="left" vertical="top"/>
    </xf>
    <xf numFmtId="0" fontId="19" fillId="11" borderId="57" xfId="0" applyFont="1" applyFill="1" applyBorder="1" applyAlignment="1">
      <alignment horizontal="left" vertical="top"/>
    </xf>
    <xf numFmtId="0" fontId="19" fillId="11" borderId="56" xfId="0" applyFont="1" applyFill="1" applyBorder="1" applyAlignment="1">
      <alignment horizontal="left" vertical="top"/>
    </xf>
    <xf numFmtId="0" fontId="20" fillId="0" borderId="1" xfId="0" applyFont="1" applyBorder="1" applyAlignment="1">
      <alignment horizontal="left" vertical="top"/>
    </xf>
    <xf numFmtId="0" fontId="20" fillId="0" borderId="54" xfId="0" applyFont="1" applyBorder="1" applyAlignment="1">
      <alignment horizontal="left" vertical="top" wrapText="1"/>
    </xf>
    <xf numFmtId="0" fontId="20" fillId="0" borderId="56" xfId="0" applyFont="1" applyBorder="1" applyAlignment="1">
      <alignment horizontal="left" vertical="top" wrapText="1"/>
    </xf>
    <xf numFmtId="0" fontId="18" fillId="0" borderId="33" xfId="0" applyFont="1" applyBorder="1" applyAlignment="1">
      <alignment horizontal="left" vertical="top" wrapText="1"/>
    </xf>
    <xf numFmtId="0" fontId="19" fillId="0" borderId="33" xfId="0" applyFont="1" applyBorder="1" applyAlignment="1">
      <alignment horizontal="left" vertical="top" wrapText="1"/>
    </xf>
    <xf numFmtId="0" fontId="2" fillId="2" borderId="62" xfId="1" applyFont="1" applyBorder="1" applyAlignment="1">
      <alignment horizontal="left" vertical="top" wrapText="1"/>
    </xf>
    <xf numFmtId="0" fontId="2" fillId="2" borderId="63" xfId="1" applyFont="1" applyBorder="1" applyAlignment="1">
      <alignment horizontal="left" vertical="top" wrapText="1"/>
    </xf>
    <xf numFmtId="0" fontId="11" fillId="0" borderId="59" xfId="0" applyFont="1" applyBorder="1" applyAlignment="1">
      <alignment horizontal="left" vertical="top" wrapText="1"/>
    </xf>
    <xf numFmtId="0" fontId="11" fillId="0" borderId="60" xfId="0" applyFont="1" applyBorder="1" applyAlignment="1">
      <alignment horizontal="left" vertical="top" wrapText="1"/>
    </xf>
    <xf numFmtId="0" fontId="11" fillId="0" borderId="61" xfId="0" applyFont="1" applyBorder="1" applyAlignment="1">
      <alignment horizontal="left" vertical="top" wrapText="1"/>
    </xf>
    <xf numFmtId="0" fontId="18" fillId="0" borderId="54" xfId="0" applyFont="1" applyBorder="1" applyAlignment="1">
      <alignment horizontal="left" vertical="top" wrapText="1"/>
    </xf>
    <xf numFmtId="0" fontId="18" fillId="0" borderId="56" xfId="0" applyFont="1" applyBorder="1" applyAlignment="1">
      <alignment horizontal="left" vertical="top" wrapText="1"/>
    </xf>
    <xf numFmtId="0" fontId="20" fillId="0" borderId="54" xfId="0" applyFont="1" applyBorder="1" applyAlignment="1">
      <alignment horizontal="left" vertical="top"/>
    </xf>
    <xf numFmtId="0" fontId="20" fillId="0" borderId="57" xfId="0" applyFont="1" applyBorder="1" applyAlignment="1">
      <alignment horizontal="left" vertical="top"/>
    </xf>
    <xf numFmtId="0" fontId="20" fillId="0" borderId="56" xfId="0" applyFont="1" applyBorder="1" applyAlignment="1">
      <alignment horizontal="left" vertical="top"/>
    </xf>
    <xf numFmtId="0" fontId="0" fillId="0" borderId="74" xfId="0" applyBorder="1" applyAlignment="1">
      <alignment horizontal="left" vertical="top" wrapText="1"/>
    </xf>
    <xf numFmtId="0" fontId="0" fillId="0" borderId="75"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0" fillId="0" borderId="54" xfId="0" applyBorder="1" applyAlignment="1">
      <alignment vertical="top" wrapText="1"/>
    </xf>
    <xf numFmtId="0" fontId="0" fillId="0" borderId="56" xfId="0" applyBorder="1" applyAlignment="1">
      <alignment vertical="top" wrapText="1"/>
    </xf>
    <xf numFmtId="0" fontId="0" fillId="0" borderId="66" xfId="0" applyBorder="1" applyAlignment="1">
      <alignment horizontal="center" vertical="top" wrapText="1"/>
    </xf>
    <xf numFmtId="0" fontId="0" fillId="0" borderId="69" xfId="0" applyBorder="1" applyAlignment="1">
      <alignment horizontal="center" vertical="top" wrapText="1"/>
    </xf>
    <xf numFmtId="0" fontId="0" fillId="0" borderId="71" xfId="0" applyBorder="1" applyAlignment="1">
      <alignment horizontal="center" vertical="top" wrapText="1"/>
    </xf>
    <xf numFmtId="0" fontId="0" fillId="0" borderId="15" xfId="0" applyBorder="1" applyAlignment="1">
      <alignment horizontal="center" vertical="top" wrapText="1"/>
    </xf>
  </cellXfs>
  <cellStyles count="6">
    <cellStyle name="20 % - Akzent1" xfId="3" builtinId="30"/>
    <cellStyle name="60 % - Akzent1" xfId="4" builtinId="32"/>
    <cellStyle name="60 % - Akzent3" xfId="1" builtinId="40"/>
    <cellStyle name="Akzent1" xfId="5" builtinId="29"/>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8</xdr:col>
      <xdr:colOff>276226</xdr:colOff>
      <xdr:row>12</xdr:row>
      <xdr:rowOff>24013</xdr:rowOff>
    </xdr:to>
    <xdr:pic>
      <xdr:nvPicPr>
        <xdr:cNvPr id="2" name="image24.png">
          <a:extLst>
            <a:ext uri="{FF2B5EF4-FFF2-40B4-BE49-F238E27FC236}">
              <a16:creationId xmlns:a16="http://schemas.microsoft.com/office/drawing/2014/main" id="{817BAE88-E127-4189-897B-5573C4444103}"/>
            </a:ext>
          </a:extLst>
        </xdr:cNvPr>
        <xdr:cNvPicPr/>
      </xdr:nvPicPr>
      <xdr:blipFill>
        <a:blip xmlns:r="http://schemas.openxmlformats.org/officeDocument/2006/relationships" r:embed="rId1" cstate="print"/>
        <a:srcRect/>
        <a:stretch>
          <a:fillRect/>
        </a:stretch>
      </xdr:blipFill>
      <xdr:spPr>
        <a:xfrm>
          <a:off x="781050" y="600075"/>
          <a:ext cx="5829301" cy="1905000"/>
        </a:xfrm>
        <a:prstGeom prst="rect">
          <a:avLst/>
        </a:prstGeom>
        <a:solidFill>
          <a:sysClr val="window" lastClr="FFFFFF"/>
        </a:solidFill>
        <a:ln w="127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0</xdr:col>
      <xdr:colOff>752475</xdr:colOff>
      <xdr:row>12</xdr:row>
      <xdr:rowOff>161925</xdr:rowOff>
    </xdr:from>
    <xdr:to>
      <xdr:col>11</xdr:col>
      <xdr:colOff>238126</xdr:colOff>
      <xdr:row>36</xdr:row>
      <xdr:rowOff>142875</xdr:rowOff>
    </xdr:to>
    <xdr:sp macro="" textlink="">
      <xdr:nvSpPr>
        <xdr:cNvPr id="3" name="TextBox 3">
          <a:extLst>
            <a:ext uri="{FF2B5EF4-FFF2-40B4-BE49-F238E27FC236}">
              <a16:creationId xmlns:a16="http://schemas.microsoft.com/office/drawing/2014/main" id="{DD80BFC8-368F-4BDD-A1F2-3F35ECD22284}"/>
            </a:ext>
          </a:extLst>
        </xdr:cNvPr>
        <xdr:cNvSpPr txBox="1"/>
      </xdr:nvSpPr>
      <xdr:spPr>
        <a:xfrm>
          <a:off x="752475" y="2638425"/>
          <a:ext cx="7867651" cy="455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GB" sz="1100" b="1">
              <a:solidFill>
                <a:schemeClr val="dk1"/>
              </a:solidFill>
              <a:effectLst/>
              <a:latin typeface="+mn-lt"/>
              <a:ea typeface="+mn-ea"/>
              <a:cs typeface="+mn-cs"/>
            </a:rPr>
            <a:t>The parameters of the Circular Footprint Formula :</a:t>
          </a:r>
        </a:p>
        <a:p>
          <a:pPr lvl="0" algn="l"/>
          <a:r>
            <a:rPr lang="en-GB" sz="1100" b="1">
              <a:solidFill>
                <a:schemeClr val="dk1"/>
              </a:solidFill>
              <a:effectLst/>
              <a:latin typeface="+mn-lt"/>
              <a:ea typeface="+mn-ea"/>
              <a:cs typeface="+mn-cs"/>
            </a:rPr>
            <a:t>A:</a:t>
          </a:r>
          <a:r>
            <a:rPr lang="en-GB" sz="1100">
              <a:solidFill>
                <a:schemeClr val="dk1"/>
              </a:solidFill>
              <a:effectLst/>
              <a:latin typeface="+mn-lt"/>
              <a:ea typeface="+mn-ea"/>
              <a:cs typeface="+mn-cs"/>
            </a:rPr>
            <a:t> allocation factor of burdens and credits between supplier and user of recycled materials.</a:t>
          </a:r>
        </a:p>
        <a:p>
          <a:r>
            <a:rPr lang="en-GB" sz="1100" b="1">
              <a:solidFill>
                <a:schemeClr val="dk1"/>
              </a:solidFill>
              <a:effectLst/>
              <a:latin typeface="+mn-lt"/>
              <a:ea typeface="+mn-ea"/>
              <a:cs typeface="+mn-cs"/>
            </a:rPr>
            <a:t>B:</a:t>
          </a:r>
          <a:r>
            <a:rPr lang="en-GB" sz="1100">
              <a:solidFill>
                <a:schemeClr val="dk1"/>
              </a:solidFill>
              <a:effectLst/>
              <a:latin typeface="+mn-lt"/>
              <a:ea typeface="+mn-ea"/>
              <a:cs typeface="+mn-cs"/>
            </a:rPr>
            <a:t> allocation factor of energy recovery processes: it applies both to burdens and credits.</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in</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ingoing secondary material, i.e. the quality of the recycled material at the point of substitution.</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out</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outgoing secondary material, i.e. the quality of the recyclable material at the point of substitution.</a:t>
          </a:r>
        </a:p>
        <a:p>
          <a:r>
            <a:rPr lang="en-GB" sz="1100" b="1">
              <a:solidFill>
                <a:schemeClr val="dk1"/>
              </a:solidFill>
              <a:effectLst/>
              <a:latin typeface="+mn-lt"/>
              <a:ea typeface="+mn-ea"/>
              <a:cs typeface="+mn-cs"/>
            </a:rPr>
            <a:t>Q</a:t>
          </a:r>
          <a:r>
            <a:rPr lang="en-GB" sz="1100" b="1" baseline="-25000">
              <a:solidFill>
                <a:schemeClr val="dk1"/>
              </a:solidFill>
              <a:effectLst/>
              <a:latin typeface="+mn-lt"/>
              <a:ea typeface="+mn-ea"/>
              <a:cs typeface="+mn-cs"/>
            </a:rPr>
            <a:t>p</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primary material, i.e. quality of the virgin material.</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1</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material in the input to the production that has been recycled from a previous system.</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2</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will be recycled (or reused) in a subsequent system. R2 shall therefore take into account the inefficiencies in the collection and recycling (or reuse) processes. R2 shall be measured at the output of the recycling plant.</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3</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is used for energy recovery at EoL.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recycled</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of the recycled (reused) material,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recyclingEoL</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recEoL</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at EoL,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 assumed to be substituted by recyclable materials.</a:t>
          </a:r>
        </a:p>
        <a:p>
          <a:r>
            <a:rPr lang="en-GB" sz="1100" b="1">
              <a:solidFill>
                <a:schemeClr val="dk1"/>
              </a:solidFill>
              <a:effectLst/>
              <a:latin typeface="+mn-lt"/>
              <a:ea typeface="+mn-ea"/>
              <a:cs typeface="+mn-cs"/>
            </a:rPr>
            <a:t>EER:</a:t>
          </a:r>
          <a:r>
            <a:rPr lang="en-GB" sz="1100">
              <a:solidFill>
                <a:schemeClr val="dk1"/>
              </a:solidFill>
              <a:effectLst/>
              <a:latin typeface="+mn-lt"/>
              <a:ea typeface="+mn-ea"/>
              <a:cs typeface="+mn-cs"/>
            </a:rPr>
            <a:t> specific emissions and resources consumed (per unit of analysis) arising from the energy recovery process (e.g. incineration with energy recovery, landfill with energy recovery, …).</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SE,heat </a:t>
          </a:r>
          <a:r>
            <a:rPr lang="en-GB" sz="1100" b="1">
              <a:solidFill>
                <a:schemeClr val="dk1"/>
              </a:solidFill>
              <a:effectLst/>
              <a:latin typeface="+mn-lt"/>
              <a:ea typeface="+mn-ea"/>
              <a:cs typeface="+mn-cs"/>
            </a:rPr>
            <a:t>and E</a:t>
          </a:r>
          <a:r>
            <a:rPr lang="en-GB" sz="1100" b="1" baseline="-25000">
              <a:solidFill>
                <a:schemeClr val="dk1"/>
              </a:solidFill>
              <a:effectLst/>
              <a:latin typeface="+mn-lt"/>
              <a:ea typeface="+mn-ea"/>
              <a:cs typeface="+mn-cs"/>
            </a:rPr>
            <a:t>SE,elec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that would have arisen from the specific substituted energy source, heat and electricity respectively.</a:t>
          </a:r>
        </a:p>
        <a:p>
          <a:r>
            <a:rPr lang="en-GB" sz="1100" b="1">
              <a:solidFill>
                <a:schemeClr val="dk1"/>
              </a:solidFill>
              <a:effectLst/>
              <a:latin typeface="+mn-lt"/>
              <a:ea typeface="+mn-ea"/>
              <a:cs typeface="+mn-cs"/>
            </a:rPr>
            <a:t>ED:</a:t>
          </a:r>
          <a:r>
            <a:rPr lang="en-GB" sz="1100">
              <a:solidFill>
                <a:schemeClr val="dk1"/>
              </a:solidFill>
              <a:effectLst/>
              <a:latin typeface="+mn-lt"/>
              <a:ea typeface="+mn-ea"/>
              <a:cs typeface="+mn-cs"/>
            </a:rPr>
            <a:t> specific emissions and resources consumed (per unit of analysis) arising from disposal of waste material at the EoL of the analysed product, without energy recovery.</a:t>
          </a:r>
        </a:p>
        <a:p>
          <a:r>
            <a:rPr lang="en-GB" sz="1100" b="1">
              <a:solidFill>
                <a:schemeClr val="dk1"/>
              </a:solidFill>
              <a:effectLst/>
              <a:latin typeface="+mn-lt"/>
              <a:ea typeface="+mn-ea"/>
              <a:cs typeface="+mn-cs"/>
            </a:rPr>
            <a:t>X</a:t>
          </a:r>
          <a:r>
            <a:rPr lang="en-GB" sz="1100" b="1" baseline="-25000">
              <a:solidFill>
                <a:schemeClr val="dk1"/>
              </a:solidFill>
              <a:effectLst/>
              <a:latin typeface="+mn-lt"/>
              <a:ea typeface="+mn-ea"/>
              <a:cs typeface="+mn-cs"/>
            </a:rPr>
            <a:t>ER,heat</a:t>
          </a:r>
          <a:r>
            <a:rPr lang="en-GB" sz="1100" b="1">
              <a:solidFill>
                <a:schemeClr val="dk1"/>
              </a:solidFill>
              <a:effectLst/>
              <a:latin typeface="+mn-lt"/>
              <a:ea typeface="+mn-ea"/>
              <a:cs typeface="+mn-cs"/>
            </a:rPr>
            <a:t> and X</a:t>
          </a:r>
          <a:r>
            <a:rPr lang="en-GB" sz="1100" b="1" baseline="-25000">
              <a:solidFill>
                <a:schemeClr val="dk1"/>
              </a:solidFill>
              <a:effectLst/>
              <a:latin typeface="+mn-lt"/>
              <a:ea typeface="+mn-ea"/>
              <a:cs typeface="+mn-cs"/>
            </a:rPr>
            <a:t>ER,elec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the efficiency of the energy recovery process for both heat and electricity.</a:t>
          </a:r>
        </a:p>
        <a:p>
          <a:r>
            <a:rPr lang="en-GB" sz="1100" b="1">
              <a:solidFill>
                <a:schemeClr val="dk1"/>
              </a:solidFill>
              <a:effectLst/>
              <a:latin typeface="+mn-lt"/>
              <a:ea typeface="+mn-ea"/>
              <a:cs typeface="+mn-cs"/>
            </a:rPr>
            <a:t>LHV:</a:t>
          </a:r>
          <a:r>
            <a:rPr lang="en-GB" sz="1100">
              <a:solidFill>
                <a:schemeClr val="dk1"/>
              </a:solidFill>
              <a:effectLst/>
              <a:latin typeface="+mn-lt"/>
              <a:ea typeface="+mn-ea"/>
              <a:cs typeface="+mn-cs"/>
            </a:rPr>
            <a:t> Lower Heating Value of the material in the product that is used for energy recovery.</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47624</xdr:colOff>
      <xdr:row>18</xdr:row>
      <xdr:rowOff>66183</xdr:rowOff>
    </xdr:from>
    <xdr:to>
      <xdr:col>13</xdr:col>
      <xdr:colOff>192691</xdr:colOff>
      <xdr:row>32</xdr:row>
      <xdr:rowOff>198958</xdr:rowOff>
    </xdr:to>
    <xdr:pic>
      <xdr:nvPicPr>
        <xdr:cNvPr id="3" name="Grafik 2">
          <a:extLst>
            <a:ext uri="{FF2B5EF4-FFF2-40B4-BE49-F238E27FC236}">
              <a16:creationId xmlns:a16="http://schemas.microsoft.com/office/drawing/2014/main" id="{C03D86EA-84FD-487E-AD87-8FD381FF769A}"/>
            </a:ext>
          </a:extLst>
        </xdr:cNvPr>
        <xdr:cNvPicPr>
          <a:picLocks noChangeAspect="1"/>
        </xdr:cNvPicPr>
      </xdr:nvPicPr>
      <xdr:blipFill>
        <a:blip xmlns:r="http://schemas.openxmlformats.org/officeDocument/2006/relationships" r:embed="rId1"/>
        <a:stretch>
          <a:fillRect/>
        </a:stretch>
      </xdr:blipFill>
      <xdr:spPr>
        <a:xfrm>
          <a:off x="8000999" y="5076333"/>
          <a:ext cx="4810125" cy="3413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47624</xdr:colOff>
      <xdr:row>4</xdr:row>
      <xdr:rowOff>38100</xdr:rowOff>
    </xdr:from>
    <xdr:to>
      <xdr:col>2</xdr:col>
      <xdr:colOff>347539</xdr:colOff>
      <xdr:row>20</xdr:row>
      <xdr:rowOff>133350</xdr:rowOff>
    </xdr:to>
    <xdr:pic>
      <xdr:nvPicPr>
        <xdr:cNvPr id="6" name="Grafik 5">
          <a:extLst>
            <a:ext uri="{FF2B5EF4-FFF2-40B4-BE49-F238E27FC236}">
              <a16:creationId xmlns:a16="http://schemas.microsoft.com/office/drawing/2014/main" id="{BA1CBBBB-24B2-4FD9-9216-0E5DE9C1E391}"/>
            </a:ext>
          </a:extLst>
        </xdr:cNvPr>
        <xdr:cNvPicPr>
          <a:picLocks noChangeAspect="1"/>
        </xdr:cNvPicPr>
      </xdr:nvPicPr>
      <xdr:blipFill>
        <a:blip xmlns:r="http://schemas.openxmlformats.org/officeDocument/2006/relationships" r:embed="rId1"/>
        <a:stretch>
          <a:fillRect/>
        </a:stretch>
      </xdr:blipFill>
      <xdr:spPr>
        <a:xfrm>
          <a:off x="809624" y="876300"/>
          <a:ext cx="6733373" cy="3143250"/>
        </a:xfrm>
        <a:prstGeom prst="rect">
          <a:avLst/>
        </a:prstGeom>
        <a:solidFill>
          <a:sysClr val="window" lastClr="FFFFFF"/>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2</xdr:col>
      <xdr:colOff>1693429</xdr:colOff>
      <xdr:row>24</xdr:row>
      <xdr:rowOff>95250</xdr:rowOff>
    </xdr:to>
    <xdr:pic>
      <xdr:nvPicPr>
        <xdr:cNvPr id="2" name="Grafik 1">
          <a:extLst>
            <a:ext uri="{FF2B5EF4-FFF2-40B4-BE49-F238E27FC236}">
              <a16:creationId xmlns:a16="http://schemas.microsoft.com/office/drawing/2014/main" id="{D56939EC-B4A4-4E14-AA74-DEA551A79E07}"/>
            </a:ext>
          </a:extLst>
        </xdr:cNvPr>
        <xdr:cNvPicPr>
          <a:picLocks noChangeAspect="1"/>
        </xdr:cNvPicPr>
      </xdr:nvPicPr>
      <xdr:blipFill>
        <a:blip xmlns:r="http://schemas.openxmlformats.org/officeDocument/2006/relationships" r:embed="rId1"/>
        <a:stretch>
          <a:fillRect/>
        </a:stretch>
      </xdr:blipFill>
      <xdr:spPr>
        <a:xfrm>
          <a:off x="762001" y="647700"/>
          <a:ext cx="6834904" cy="4095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279400</xdr:colOff>
      <xdr:row>18</xdr:row>
      <xdr:rowOff>50800</xdr:rowOff>
    </xdr:from>
    <xdr:to>
      <xdr:col>7</xdr:col>
      <xdr:colOff>508000</xdr:colOff>
      <xdr:row>18</xdr:row>
      <xdr:rowOff>165100</xdr:rowOff>
    </xdr:to>
    <xdr:sp macro="" textlink="">
      <xdr:nvSpPr>
        <xdr:cNvPr id="2" name="Pfeil nach rechts 1">
          <a:extLst>
            <a:ext uri="{FF2B5EF4-FFF2-40B4-BE49-F238E27FC236}">
              <a16:creationId xmlns:a16="http://schemas.microsoft.com/office/drawing/2014/main" id="{970A7880-6433-4789-908E-E7D4A67DF342}"/>
            </a:ext>
          </a:extLst>
        </xdr:cNvPr>
        <xdr:cNvSpPr/>
      </xdr:nvSpPr>
      <xdr:spPr>
        <a:xfrm>
          <a:off x="7718425" y="355600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3</xdr:col>
      <xdr:colOff>469900</xdr:colOff>
      <xdr:row>30</xdr:row>
      <xdr:rowOff>38100</xdr:rowOff>
    </xdr:from>
    <xdr:to>
      <xdr:col>3</xdr:col>
      <xdr:colOff>698500</xdr:colOff>
      <xdr:row>30</xdr:row>
      <xdr:rowOff>152400</xdr:rowOff>
    </xdr:to>
    <xdr:sp macro="" textlink="">
      <xdr:nvSpPr>
        <xdr:cNvPr id="3" name="Pfeil nach rechts 2">
          <a:extLst>
            <a:ext uri="{FF2B5EF4-FFF2-40B4-BE49-F238E27FC236}">
              <a16:creationId xmlns:a16="http://schemas.microsoft.com/office/drawing/2014/main" id="{F1F90DC3-1049-4703-8310-5C1A1E9BFCAB}"/>
            </a:ext>
          </a:extLst>
        </xdr:cNvPr>
        <xdr:cNvSpPr/>
      </xdr:nvSpPr>
      <xdr:spPr>
        <a:xfrm>
          <a:off x="3736975" y="59245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xdr:col>
      <xdr:colOff>368300</xdr:colOff>
      <xdr:row>97</xdr:row>
      <xdr:rowOff>50800</xdr:rowOff>
    </xdr:from>
    <xdr:to>
      <xdr:col>1</xdr:col>
      <xdr:colOff>596900</xdr:colOff>
      <xdr:row>97</xdr:row>
      <xdr:rowOff>165100</xdr:rowOff>
    </xdr:to>
    <xdr:sp macro="" textlink="">
      <xdr:nvSpPr>
        <xdr:cNvPr id="4" name="Pfeil nach rechts 3">
          <a:extLst>
            <a:ext uri="{FF2B5EF4-FFF2-40B4-BE49-F238E27FC236}">
              <a16:creationId xmlns:a16="http://schemas.microsoft.com/office/drawing/2014/main" id="{06E26F05-B20D-4D5D-B542-40036C8A0989}"/>
            </a:ext>
          </a:extLst>
        </xdr:cNvPr>
        <xdr:cNvSpPr/>
      </xdr:nvSpPr>
      <xdr:spPr>
        <a:xfrm>
          <a:off x="1358900" y="18815050"/>
          <a:ext cx="228600" cy="114300"/>
        </a:xfrm>
        <a:prstGeom prst="rightArrow">
          <a:avLst/>
        </a:prstGeom>
        <a:solidFill>
          <a:schemeClr val="accent2"/>
        </a:solidFill>
        <a:ln>
          <a:solidFill>
            <a:schemeClr val="accent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21</xdr:col>
      <xdr:colOff>152400</xdr:colOff>
      <xdr:row>88</xdr:row>
      <xdr:rowOff>50800</xdr:rowOff>
    </xdr:from>
    <xdr:to>
      <xdr:col>21</xdr:col>
      <xdr:colOff>381000</xdr:colOff>
      <xdr:row>88</xdr:row>
      <xdr:rowOff>165100</xdr:rowOff>
    </xdr:to>
    <xdr:sp macro="" textlink="">
      <xdr:nvSpPr>
        <xdr:cNvPr id="5" name="Pfeil nach rechts 4">
          <a:extLst>
            <a:ext uri="{FF2B5EF4-FFF2-40B4-BE49-F238E27FC236}">
              <a16:creationId xmlns:a16="http://schemas.microsoft.com/office/drawing/2014/main" id="{D5E5B60B-1461-4D00-BF75-99277A27FF3E}"/>
            </a:ext>
          </a:extLst>
        </xdr:cNvPr>
        <xdr:cNvSpPr/>
      </xdr:nvSpPr>
      <xdr:spPr>
        <a:xfrm>
          <a:off x="21459825" y="170243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19</xdr:col>
      <xdr:colOff>304800</xdr:colOff>
      <xdr:row>92</xdr:row>
      <xdr:rowOff>25400</xdr:rowOff>
    </xdr:from>
    <xdr:to>
      <xdr:col>19</xdr:col>
      <xdr:colOff>533400</xdr:colOff>
      <xdr:row>92</xdr:row>
      <xdr:rowOff>139700</xdr:rowOff>
    </xdr:to>
    <xdr:sp macro="" textlink="">
      <xdr:nvSpPr>
        <xdr:cNvPr id="6" name="Pfeil nach rechts 5">
          <a:extLst>
            <a:ext uri="{FF2B5EF4-FFF2-40B4-BE49-F238E27FC236}">
              <a16:creationId xmlns:a16="http://schemas.microsoft.com/office/drawing/2014/main" id="{468FB30E-450A-45A8-B809-E93852C09EB7}"/>
            </a:ext>
          </a:extLst>
        </xdr:cNvPr>
        <xdr:cNvSpPr/>
      </xdr:nvSpPr>
      <xdr:spPr>
        <a:xfrm>
          <a:off x="19631025" y="17770475"/>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ur-lex.europa.eu/legal-content/EN/TXT/PDF/?uri=CELEX:32021H227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eur-lex.europa.eu/legal-content/EN/TXT/PDF/?uri=CELEX:32021H2279"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E6A8-B1CC-4913-BEDB-EA2901B5EEBE}">
  <dimension ref="B2:V39"/>
  <sheetViews>
    <sheetView topLeftCell="A13" zoomScaleNormal="100" workbookViewId="0">
      <selection activeCell="O24" sqref="O24"/>
    </sheetView>
  </sheetViews>
  <sheetFormatPr baseColWidth="10" defaultColWidth="10.85546875" defaultRowHeight="15"/>
  <cols>
    <col min="2" max="2" width="15.140625" customWidth="1"/>
    <col min="14" max="14" width="15.85546875" customWidth="1"/>
    <col min="20" max="20" width="16.28515625" customWidth="1"/>
    <col min="21" max="21" width="25.5703125" customWidth="1"/>
  </cols>
  <sheetData>
    <row r="2" spans="2:22" ht="21">
      <c r="B2" s="166" t="s">
        <v>0</v>
      </c>
      <c r="C2" s="166"/>
      <c r="D2" s="166"/>
      <c r="E2" s="166"/>
      <c r="F2" s="166"/>
      <c r="G2" s="166"/>
    </row>
    <row r="4" spans="2:22" ht="15.75" thickBot="1"/>
    <row r="5" spans="2:22" ht="18.75">
      <c r="N5" t="s">
        <v>1</v>
      </c>
      <c r="O5" s="1" t="s">
        <v>2</v>
      </c>
      <c r="P5" s="7"/>
      <c r="R5" s="2"/>
      <c r="S5" s="167" t="s">
        <v>20</v>
      </c>
      <c r="T5" s="168"/>
      <c r="U5" s="20" t="s">
        <v>3</v>
      </c>
      <c r="V5" s="21"/>
    </row>
    <row r="6" spans="2:22" ht="18.75" thickBot="1">
      <c r="O6" s="1" t="s">
        <v>4</v>
      </c>
      <c r="P6" s="8"/>
      <c r="R6" s="3"/>
      <c r="S6" s="169" t="s">
        <v>21</v>
      </c>
      <c r="T6" s="170"/>
      <c r="U6" s="18" t="s">
        <v>5</v>
      </c>
      <c r="V6" s="19"/>
    </row>
    <row r="7" spans="2:22" ht="15.75">
      <c r="O7" s="1" t="s">
        <v>6</v>
      </c>
      <c r="P7" s="8"/>
      <c r="R7" s="3"/>
      <c r="S7" s="3"/>
      <c r="T7" s="3"/>
    </row>
    <row r="8" spans="2:22" ht="15.75">
      <c r="O8" s="1" t="s">
        <v>7</v>
      </c>
      <c r="P8" s="8"/>
      <c r="R8" s="2"/>
      <c r="S8" s="2"/>
      <c r="T8" s="2"/>
    </row>
    <row r="9" spans="2:22" ht="15.75">
      <c r="O9" s="1" t="s">
        <v>8</v>
      </c>
      <c r="P9" s="8"/>
      <c r="R9" s="2"/>
      <c r="S9" s="2"/>
      <c r="T9" s="2"/>
    </row>
    <row r="10" spans="2:22" ht="15.75">
      <c r="O10" s="1" t="s">
        <v>9</v>
      </c>
      <c r="P10" s="8"/>
      <c r="R10" s="2"/>
      <c r="S10" s="2"/>
      <c r="T10" s="2"/>
    </row>
    <row r="11" spans="2:22" ht="15.75">
      <c r="O11" s="1" t="s">
        <v>10</v>
      </c>
      <c r="P11" s="8"/>
      <c r="R11" s="2"/>
      <c r="S11" s="2"/>
      <c r="T11" s="2"/>
    </row>
    <row r="12" spans="2:22" ht="15.75">
      <c r="O12" s="1" t="s">
        <v>11</v>
      </c>
      <c r="P12" s="8"/>
      <c r="R12" s="2"/>
      <c r="S12" s="2"/>
      <c r="T12" s="2"/>
    </row>
    <row r="13" spans="2:22" ht="15.75">
      <c r="O13" s="1" t="s">
        <v>12</v>
      </c>
      <c r="P13" s="8"/>
      <c r="R13" s="2"/>
      <c r="S13" s="2"/>
      <c r="T13" s="2"/>
    </row>
    <row r="14" spans="2:22" ht="15.75">
      <c r="O14" s="1" t="s">
        <v>13</v>
      </c>
      <c r="P14" s="8"/>
      <c r="R14" s="2"/>
      <c r="S14" s="2"/>
      <c r="T14" s="2"/>
    </row>
    <row r="15" spans="2:22" ht="15.75">
      <c r="O15" s="1" t="s">
        <v>14</v>
      </c>
      <c r="P15" s="8"/>
      <c r="R15" s="2"/>
      <c r="S15" s="2"/>
      <c r="T15" s="2"/>
    </row>
    <row r="17" spans="14:21">
      <c r="N17" s="5" t="s">
        <v>15</v>
      </c>
      <c r="O17" s="171" t="s">
        <v>16</v>
      </c>
      <c r="P17" s="171"/>
      <c r="Q17" s="171"/>
      <c r="R17" s="171"/>
      <c r="S17" s="171"/>
      <c r="T17" s="171"/>
      <c r="U17" s="171"/>
    </row>
    <row r="18" spans="14:21">
      <c r="P18" s="10" t="e">
        <f>(1-P9)*P13+P21P9*(P5*P11+(1-P5)*P13*(P6/P8))+(1-P5)*P10*(P12-P14*(P7/P8))</f>
        <v>#NAME?</v>
      </c>
    </row>
    <row r="20" spans="14:21">
      <c r="N20" s="6" t="s">
        <v>17</v>
      </c>
      <c r="O20" s="4" t="s">
        <v>18</v>
      </c>
    </row>
    <row r="21" spans="14:21">
      <c r="P21" s="10">
        <f>(1-P10)*P15</f>
        <v>0</v>
      </c>
    </row>
    <row r="23" spans="14:21">
      <c r="N23" s="4" t="s">
        <v>19</v>
      </c>
      <c r="O23" s="10" t="e">
        <f>P18+P21</f>
        <v>#NAME?</v>
      </c>
    </row>
    <row r="39" spans="2:3">
      <c r="B39" t="s">
        <v>22</v>
      </c>
      <c r="C39" s="9" t="s">
        <v>23</v>
      </c>
    </row>
  </sheetData>
  <mergeCells count="4">
    <mergeCell ref="B2:G2"/>
    <mergeCell ref="S5:T5"/>
    <mergeCell ref="S6:T6"/>
    <mergeCell ref="O17:U17"/>
  </mergeCells>
  <hyperlinks>
    <hyperlink ref="C39" r:id="rId1" xr:uid="{8234834B-4713-4111-8DE3-880BAB4195DF}"/>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A79A-6A5D-47BC-924A-434DAD144CA9}">
  <dimension ref="A1:M192"/>
  <sheetViews>
    <sheetView topLeftCell="A149" zoomScale="77" zoomScaleNormal="70" workbookViewId="0">
      <selection activeCell="B154" sqref="B154"/>
    </sheetView>
  </sheetViews>
  <sheetFormatPr baseColWidth="10" defaultColWidth="10.85546875" defaultRowHeight="15"/>
  <cols>
    <col min="1" max="1" width="19.42578125" customWidth="1"/>
    <col min="2" max="2" width="104.5703125" customWidth="1"/>
    <col min="3" max="3" width="42" customWidth="1"/>
    <col min="4" max="4" width="48.7109375" customWidth="1"/>
    <col min="5" max="5" width="34.42578125" customWidth="1"/>
    <col min="6" max="6" width="52.140625" customWidth="1"/>
  </cols>
  <sheetData>
    <row r="1" spans="1:13" ht="15.75" thickBot="1"/>
    <row r="2" spans="1:13" ht="15.75" thickBot="1">
      <c r="B2" s="130" t="s">
        <v>64</v>
      </c>
    </row>
    <row r="3" spans="1:13" ht="15.75" thickBot="1"/>
    <row r="4" spans="1:13" ht="15.75" thickBot="1">
      <c r="A4" s="132" t="s">
        <v>582</v>
      </c>
      <c r="B4" s="176" t="s">
        <v>583</v>
      </c>
      <c r="C4" s="177"/>
      <c r="D4" s="177"/>
      <c r="E4" s="178"/>
      <c r="F4" s="131"/>
      <c r="G4" s="131"/>
      <c r="H4" s="131"/>
      <c r="I4" s="131"/>
      <c r="J4" s="131"/>
      <c r="K4" s="131"/>
      <c r="L4" s="131"/>
      <c r="M4" s="131"/>
    </row>
    <row r="5" spans="1:13" ht="15.75" thickBot="1"/>
    <row r="6" spans="1:13" ht="15.75" thickBot="1">
      <c r="A6" s="133">
        <v>0.95</v>
      </c>
      <c r="B6" s="189" t="s">
        <v>586</v>
      </c>
      <c r="C6" s="190"/>
      <c r="D6" s="190"/>
      <c r="E6" s="191"/>
    </row>
    <row r="7" spans="1:13">
      <c r="B7" s="115" t="s">
        <v>162</v>
      </c>
      <c r="C7" s="129" t="s">
        <v>81</v>
      </c>
      <c r="D7" s="129" t="s">
        <v>175</v>
      </c>
      <c r="E7" s="115" t="s">
        <v>177</v>
      </c>
    </row>
    <row r="8" spans="1:13">
      <c r="B8" s="1" t="s">
        <v>163</v>
      </c>
      <c r="C8" s="56">
        <v>4.6599999999999994E-6</v>
      </c>
      <c r="D8" s="57">
        <v>2.2580000000000003E-9</v>
      </c>
      <c r="E8" s="44">
        <v>1.7729999999999998E-5</v>
      </c>
    </row>
    <row r="9" spans="1:13">
      <c r="B9" s="1" t="s">
        <v>164</v>
      </c>
      <c r="C9" s="56">
        <v>13.58</v>
      </c>
      <c r="D9" s="57">
        <v>0.1709</v>
      </c>
      <c r="E9" s="44">
        <v>684</v>
      </c>
    </row>
    <row r="10" spans="1:13">
      <c r="B10" s="1" t="s">
        <v>165</v>
      </c>
      <c r="C10" s="56">
        <v>2.0109999999999998E-3</v>
      </c>
      <c r="D10" s="57">
        <v>3.1900000000000003E-5</v>
      </c>
      <c r="E10" s="44">
        <v>0.1956</v>
      </c>
    </row>
    <row r="11" spans="1:13">
      <c r="B11" s="1" t="s">
        <v>166</v>
      </c>
      <c r="C11" s="56">
        <v>4.1200000000000004E-4</v>
      </c>
      <c r="D11" s="57">
        <v>3.4300000000000002E-6</v>
      </c>
      <c r="E11" s="44">
        <v>1.489E-2</v>
      </c>
    </row>
    <row r="12" spans="1:13">
      <c r="B12" s="1" t="s">
        <v>167</v>
      </c>
      <c r="C12" s="56">
        <v>3.0600000000000002E-3</v>
      </c>
      <c r="D12" s="57">
        <v>2.8380000000000003E-5</v>
      </c>
      <c r="E12" s="44">
        <v>0.313</v>
      </c>
    </row>
    <row r="13" spans="1:13">
      <c r="B13" s="148" t="s">
        <v>168</v>
      </c>
      <c r="C13" s="149">
        <v>1.331</v>
      </c>
      <c r="D13" s="150">
        <v>1.1809999999999999E-2</v>
      </c>
      <c r="E13" s="151">
        <v>62.7</v>
      </c>
    </row>
    <row r="14" spans="1:13">
      <c r="B14" s="1" t="s">
        <v>169</v>
      </c>
      <c r="C14" s="56">
        <v>1.329</v>
      </c>
      <c r="D14" s="57">
        <v>1.197E-2</v>
      </c>
      <c r="E14" s="44">
        <v>62.8</v>
      </c>
    </row>
    <row r="15" spans="1:13">
      <c r="B15" s="1" t="s">
        <v>170</v>
      </c>
      <c r="C15" s="56">
        <v>5.3400000000000003E-2</v>
      </c>
      <c r="D15" s="57">
        <v>3.4400000000000001E-4</v>
      </c>
      <c r="E15" s="44">
        <v>84.3</v>
      </c>
    </row>
    <row r="16" spans="1:13">
      <c r="B16" s="1" t="s">
        <v>171</v>
      </c>
      <c r="C16" s="56">
        <v>157.19999999999999</v>
      </c>
      <c r="D16" s="57">
        <v>1.0899999999999999</v>
      </c>
      <c r="E16" s="44">
        <v>105900</v>
      </c>
    </row>
    <row r="17" spans="1:5">
      <c r="B17" s="1" t="s">
        <v>172</v>
      </c>
      <c r="C17" s="56">
        <v>5.1799999999999998E-11</v>
      </c>
      <c r="D17" s="57">
        <v>1.923E-14</v>
      </c>
      <c r="E17" s="44">
        <v>1.018E-10</v>
      </c>
    </row>
    <row r="18" spans="1:5">
      <c r="B18" s="1" t="s">
        <v>173</v>
      </c>
      <c r="C18" s="56">
        <v>1.3739999999999998E-4</v>
      </c>
      <c r="D18" s="57">
        <v>2.9400000000000002E-6</v>
      </c>
      <c r="E18" s="44">
        <v>1.1679999999999999E-2</v>
      </c>
    </row>
    <row r="19" spans="1:5">
      <c r="B19" s="1" t="s">
        <v>174</v>
      </c>
      <c r="C19" s="56">
        <v>2.2539999999999999E-3</v>
      </c>
      <c r="D19" s="57">
        <v>1.314E-4</v>
      </c>
      <c r="E19" s="44">
        <v>0.1172</v>
      </c>
    </row>
    <row r="20" spans="1:5" ht="15.75" thickBot="1"/>
    <row r="21" spans="1:5" ht="15.75" thickBot="1">
      <c r="A21" s="133">
        <v>0.05</v>
      </c>
      <c r="B21" s="189" t="s">
        <v>587</v>
      </c>
      <c r="C21" s="190"/>
      <c r="D21" s="190"/>
      <c r="E21" s="191"/>
    </row>
    <row r="22" spans="1:5">
      <c r="B22" s="115" t="s">
        <v>162</v>
      </c>
      <c r="C22" s="129" t="s">
        <v>81</v>
      </c>
      <c r="D22" s="129" t="s">
        <v>175</v>
      </c>
      <c r="E22" s="115" t="s">
        <v>177</v>
      </c>
    </row>
    <row r="23" spans="1:5">
      <c r="B23" s="1" t="s">
        <v>163</v>
      </c>
      <c r="C23" s="56">
        <v>3.2300000000000002E-7</v>
      </c>
      <c r="D23" s="57">
        <v>1.09E-10</v>
      </c>
      <c r="E23" s="44">
        <v>1.7729999999999998E-5</v>
      </c>
    </row>
    <row r="24" spans="1:5">
      <c r="B24" s="1" t="s">
        <v>164</v>
      </c>
      <c r="C24" s="56">
        <v>4.24</v>
      </c>
      <c r="D24" s="57">
        <v>8.2400000000000008E-3</v>
      </c>
      <c r="E24" s="44">
        <v>684</v>
      </c>
    </row>
    <row r="25" spans="1:5">
      <c r="B25" s="1" t="s">
        <v>165</v>
      </c>
      <c r="C25" s="56">
        <v>6.11E-4</v>
      </c>
      <c r="D25" s="57">
        <v>1.5400000000000001E-6</v>
      </c>
      <c r="E25" s="44">
        <v>0.1956</v>
      </c>
    </row>
    <row r="26" spans="1:5">
      <c r="B26" s="1" t="s">
        <v>166</v>
      </c>
      <c r="C26" s="56">
        <v>1.17E-4</v>
      </c>
      <c r="D26" s="57">
        <v>1.6500000000000001E-7</v>
      </c>
      <c r="E26" s="44">
        <v>1.489E-2</v>
      </c>
    </row>
    <row r="27" spans="1:5">
      <c r="B27" s="1" t="s">
        <v>167</v>
      </c>
      <c r="C27" s="56">
        <v>8.1400000000000005E-4</v>
      </c>
      <c r="D27" s="57">
        <v>1.37E-6</v>
      </c>
      <c r="E27" s="44">
        <v>0.313</v>
      </c>
    </row>
    <row r="28" spans="1:5">
      <c r="B28" s="148" t="s">
        <v>168</v>
      </c>
      <c r="C28" s="149">
        <v>0.42699999999999999</v>
      </c>
      <c r="D28" s="150">
        <v>5.6899999999999995E-4</v>
      </c>
      <c r="E28" s="151">
        <v>62.7</v>
      </c>
    </row>
    <row r="29" spans="1:5">
      <c r="B29" s="1" t="s">
        <v>169</v>
      </c>
      <c r="C29" s="56">
        <v>0.42699999999999999</v>
      </c>
      <c r="D29" s="57">
        <v>5.7600000000000001E-4</v>
      </c>
      <c r="E29" s="44">
        <v>62.8</v>
      </c>
    </row>
    <row r="30" spans="1:5">
      <c r="B30" s="1" t="s">
        <v>170</v>
      </c>
      <c r="C30" s="56">
        <v>1.67E-2</v>
      </c>
      <c r="D30" s="57">
        <v>1.66E-5</v>
      </c>
      <c r="E30" s="44">
        <v>84.3</v>
      </c>
    </row>
    <row r="31" spans="1:5">
      <c r="B31" s="1" t="s">
        <v>171</v>
      </c>
      <c r="C31" s="56">
        <v>50.2</v>
      </c>
      <c r="D31" s="57">
        <v>5.2499999999999998E-2</v>
      </c>
      <c r="E31" s="44">
        <v>105900</v>
      </c>
    </row>
    <row r="32" spans="1:5">
      <c r="B32" s="1" t="s">
        <v>172</v>
      </c>
      <c r="C32" s="56">
        <v>1.6999999999999999E-11</v>
      </c>
      <c r="D32" s="57">
        <v>9.2700000000000007E-16</v>
      </c>
      <c r="E32" s="44">
        <v>1.018E-10</v>
      </c>
    </row>
    <row r="33" spans="2:5">
      <c r="B33" s="1" t="s">
        <v>173</v>
      </c>
      <c r="C33" s="56">
        <v>4.0800000000000002E-5</v>
      </c>
      <c r="D33" s="57">
        <v>1.42E-7</v>
      </c>
      <c r="E33" s="44">
        <v>1.1679999999999999E-2</v>
      </c>
    </row>
    <row r="34" spans="2:5">
      <c r="B34" s="1" t="s">
        <v>174</v>
      </c>
      <c r="C34" s="56">
        <v>6.02E-4</v>
      </c>
      <c r="D34" s="57">
        <v>6.3300000000000004E-6</v>
      </c>
      <c r="E34" s="44">
        <v>0.1172</v>
      </c>
    </row>
    <row r="36" spans="2:5" ht="15.75" thickBot="1"/>
    <row r="37" spans="2:5" ht="15.75" thickBot="1">
      <c r="B37" s="179" t="s">
        <v>584</v>
      </c>
      <c r="C37" s="180"/>
      <c r="D37" s="180"/>
      <c r="E37" s="181"/>
    </row>
    <row r="38" spans="2:5">
      <c r="B38" s="73" t="s">
        <v>179</v>
      </c>
      <c r="C38" s="137" t="s">
        <v>189</v>
      </c>
      <c r="D38" s="115" t="s">
        <v>595</v>
      </c>
      <c r="E38" s="115" t="s">
        <v>596</v>
      </c>
    </row>
    <row r="39" spans="2:5" ht="60">
      <c r="B39" s="172" t="s">
        <v>605</v>
      </c>
      <c r="C39" s="174">
        <v>0.2</v>
      </c>
      <c r="D39" s="34" t="s">
        <v>617</v>
      </c>
      <c r="E39" s="138" t="s">
        <v>620</v>
      </c>
    </row>
    <row r="40" spans="2:5" ht="15" hidden="1" customHeight="1">
      <c r="B40" s="173"/>
      <c r="C40" s="175"/>
      <c r="D40" s="1"/>
      <c r="E40" s="1"/>
    </row>
    <row r="41" spans="2:5" ht="30">
      <c r="B41" s="34" t="s">
        <v>600</v>
      </c>
      <c r="C41" s="134">
        <v>0</v>
      </c>
      <c r="D41" s="34" t="s">
        <v>607</v>
      </c>
      <c r="E41" s="138" t="s">
        <v>622</v>
      </c>
    </row>
    <row r="42" spans="2:5">
      <c r="B42" s="139" t="s">
        <v>601</v>
      </c>
      <c r="C42" s="134" t="s">
        <v>688</v>
      </c>
      <c r="D42" s="1" t="s">
        <v>689</v>
      </c>
      <c r="E42" s="1" t="s">
        <v>690</v>
      </c>
    </row>
    <row r="43" spans="2:5">
      <c r="B43" s="34" t="s">
        <v>602</v>
      </c>
      <c r="C43" s="134">
        <v>1</v>
      </c>
      <c r="D43" s="1" t="s">
        <v>631</v>
      </c>
      <c r="E43" s="1" t="s">
        <v>597</v>
      </c>
    </row>
    <row r="44" spans="2:5" ht="30">
      <c r="B44" s="139" t="s">
        <v>603</v>
      </c>
      <c r="C44" s="134" t="s">
        <v>550</v>
      </c>
      <c r="D44" s="138" t="s">
        <v>618</v>
      </c>
      <c r="E44" s="34" t="s">
        <v>619</v>
      </c>
    </row>
    <row r="45" spans="2:5" ht="30">
      <c r="B45" s="34" t="s">
        <v>604</v>
      </c>
      <c r="C45" s="134" t="s">
        <v>695</v>
      </c>
      <c r="D45" s="36" t="s">
        <v>697</v>
      </c>
      <c r="E45" s="34" t="s">
        <v>696</v>
      </c>
    </row>
    <row r="46" spans="2:5" ht="15.75" thickBot="1"/>
    <row r="47" spans="2:5" ht="15.75" thickBot="1">
      <c r="B47" s="179" t="s">
        <v>585</v>
      </c>
      <c r="C47" s="180"/>
      <c r="D47" s="180"/>
      <c r="E47" s="181"/>
    </row>
    <row r="48" spans="2:5">
      <c r="B48" s="73" t="s">
        <v>179</v>
      </c>
      <c r="C48" s="137" t="s">
        <v>189</v>
      </c>
      <c r="D48" s="115" t="s">
        <v>595</v>
      </c>
      <c r="E48" s="115" t="s">
        <v>596</v>
      </c>
    </row>
    <row r="49" spans="1:5">
      <c r="B49" s="172" t="s">
        <v>605</v>
      </c>
      <c r="C49" s="174">
        <v>0.2</v>
      </c>
      <c r="D49" s="185" t="s">
        <v>617</v>
      </c>
      <c r="E49" s="187" t="s">
        <v>621</v>
      </c>
    </row>
    <row r="50" spans="1:5" ht="4.5" customHeight="1">
      <c r="B50" s="173"/>
      <c r="C50" s="175"/>
      <c r="D50" s="186"/>
      <c r="E50" s="188"/>
    </row>
    <row r="51" spans="1:5" ht="30">
      <c r="B51" s="34" t="s">
        <v>600</v>
      </c>
      <c r="C51" s="134">
        <v>0</v>
      </c>
      <c r="D51" s="34" t="s">
        <v>607</v>
      </c>
      <c r="E51" s="138" t="s">
        <v>622</v>
      </c>
    </row>
    <row r="52" spans="1:5" ht="75">
      <c r="B52" s="139" t="s">
        <v>601</v>
      </c>
      <c r="C52" s="134" t="s">
        <v>705</v>
      </c>
      <c r="D52" s="37" t="s">
        <v>706</v>
      </c>
      <c r="E52" s="36" t="s">
        <v>707</v>
      </c>
    </row>
    <row r="53" spans="1:5">
      <c r="B53" s="34" t="s">
        <v>602</v>
      </c>
      <c r="C53" s="134">
        <v>1</v>
      </c>
      <c r="D53" s="1" t="s">
        <v>631</v>
      </c>
      <c r="E53" s="1" t="s">
        <v>597</v>
      </c>
    </row>
    <row r="54" spans="1:5">
      <c r="B54" s="139" t="s">
        <v>603</v>
      </c>
      <c r="C54" s="134">
        <v>1</v>
      </c>
      <c r="D54" s="1" t="s">
        <v>624</v>
      </c>
      <c r="E54" s="1" t="s">
        <v>625</v>
      </c>
    </row>
    <row r="55" spans="1:5">
      <c r="B55" s="34" t="s">
        <v>604</v>
      </c>
      <c r="C55" s="134">
        <v>1</v>
      </c>
      <c r="D55" s="1" t="s">
        <v>624</v>
      </c>
      <c r="E55" s="1" t="s">
        <v>625</v>
      </c>
    </row>
    <row r="57" spans="1:5" ht="15.75" thickBot="1"/>
    <row r="58" spans="1:5" ht="15.75" thickBot="1">
      <c r="A58" s="132" t="s">
        <v>582</v>
      </c>
      <c r="B58" s="176" t="s">
        <v>432</v>
      </c>
      <c r="C58" s="177"/>
      <c r="D58" s="177"/>
      <c r="E58" s="178"/>
    </row>
    <row r="60" spans="1:5" ht="15.75" thickBot="1"/>
    <row r="61" spans="1:5" ht="15.75" thickBot="1">
      <c r="A61" s="133">
        <v>0.54</v>
      </c>
      <c r="B61" s="189" t="s">
        <v>586</v>
      </c>
      <c r="C61" s="190"/>
      <c r="D61" s="190"/>
      <c r="E61" s="191"/>
    </row>
    <row r="62" spans="1:5">
      <c r="B62" s="1" t="s">
        <v>162</v>
      </c>
      <c r="C62" s="1" t="s">
        <v>177</v>
      </c>
      <c r="D62" s="58" t="s">
        <v>81</v>
      </c>
      <c r="E62" s="58" t="s">
        <v>175</v>
      </c>
    </row>
    <row r="63" spans="1:5">
      <c r="B63" s="1" t="s">
        <v>163</v>
      </c>
      <c r="C63" s="113">
        <v>1.0499999999999999E-5</v>
      </c>
      <c r="D63" s="57">
        <v>2.5474999999999997E-6</v>
      </c>
      <c r="E63" s="44">
        <v>1.2376152882205513E-9</v>
      </c>
    </row>
    <row r="64" spans="1:5">
      <c r="B64" s="1" t="s">
        <v>164</v>
      </c>
      <c r="C64" s="114">
        <v>405</v>
      </c>
      <c r="D64" s="57">
        <v>7.4266666666666659</v>
      </c>
      <c r="E64" s="44">
        <v>9.346012531328321E-2</v>
      </c>
    </row>
    <row r="65" spans="1:5">
      <c r="B65" s="1" t="s">
        <v>165</v>
      </c>
      <c r="C65" s="114">
        <v>0.11600000000000001</v>
      </c>
      <c r="D65" s="57">
        <v>1.0983333333333333E-3</v>
      </c>
      <c r="E65" s="44">
        <v>1.7452694235588974E-5</v>
      </c>
    </row>
    <row r="66" spans="1:5">
      <c r="B66" s="1" t="s">
        <v>166</v>
      </c>
      <c r="C66" s="114">
        <v>8.8100000000000001E-3</v>
      </c>
      <c r="D66" s="57">
        <v>2.253333333333333E-4</v>
      </c>
      <c r="E66" s="44">
        <v>1.8730162907268171E-6</v>
      </c>
    </row>
    <row r="67" spans="1:5">
      <c r="B67" s="1" t="s">
        <v>167</v>
      </c>
      <c r="C67" s="114">
        <v>0.1845</v>
      </c>
      <c r="D67" s="57">
        <v>1.6758333333333334E-3</v>
      </c>
      <c r="E67" s="44">
        <v>1.5553157894736841E-5</v>
      </c>
    </row>
    <row r="68" spans="1:5">
      <c r="B68" s="148" t="s">
        <v>168</v>
      </c>
      <c r="C68" s="152">
        <v>37.14</v>
      </c>
      <c r="D68" s="150">
        <v>0.72699999999999998</v>
      </c>
      <c r="E68" s="151">
        <v>6.4535213032581498E-3</v>
      </c>
    </row>
    <row r="69" spans="1:5">
      <c r="B69" s="1" t="s">
        <v>169</v>
      </c>
      <c r="C69" s="114">
        <v>37.15</v>
      </c>
      <c r="D69" s="57">
        <v>0.72633333333333328</v>
      </c>
      <c r="E69" s="44">
        <v>6.5381303258145364E-3</v>
      </c>
    </row>
    <row r="70" spans="1:5">
      <c r="B70" s="1" t="s">
        <v>170</v>
      </c>
      <c r="C70" s="114">
        <v>50</v>
      </c>
      <c r="D70" s="57">
        <v>2.9199999999999997E-2</v>
      </c>
      <c r="E70" s="44">
        <v>1.882967418546366E-4</v>
      </c>
    </row>
    <row r="71" spans="1:5">
      <c r="B71" s="1" t="s">
        <v>171</v>
      </c>
      <c r="C71" s="114">
        <v>62700</v>
      </c>
      <c r="D71" s="57">
        <v>86.1</v>
      </c>
      <c r="E71" s="44">
        <v>0.59533182957393482</v>
      </c>
    </row>
    <row r="72" spans="1:5">
      <c r="B72" s="1" t="s">
        <v>172</v>
      </c>
      <c r="C72" s="114">
        <v>6.0300000000000001E-11</v>
      </c>
      <c r="D72" s="57">
        <v>2.8349999999999998E-11</v>
      </c>
      <c r="E72" s="44">
        <v>1.0530538847117795E-14</v>
      </c>
    </row>
    <row r="73" spans="1:5">
      <c r="B73" s="1" t="s">
        <v>173</v>
      </c>
      <c r="C73" s="114">
        <v>6.9100000000000003E-3</v>
      </c>
      <c r="D73" s="57">
        <v>7.5116666666666658E-5</v>
      </c>
      <c r="E73" s="44">
        <v>1.608404761904762E-6</v>
      </c>
    </row>
    <row r="74" spans="1:5">
      <c r="B74" s="1" t="s">
        <v>174</v>
      </c>
      <c r="C74" s="114">
        <v>6.9400000000000003E-2</v>
      </c>
      <c r="D74" s="57">
        <v>1.2308333333333331E-3</v>
      </c>
      <c r="E74" s="44">
        <v>7.1843157894736846E-5</v>
      </c>
    </row>
    <row r="75" spans="1:5" ht="15.75" thickBot="1"/>
    <row r="76" spans="1:5" ht="15.75" thickBot="1">
      <c r="A76" s="135">
        <v>4.4999999999999998E-2</v>
      </c>
      <c r="B76" s="189" t="s">
        <v>587</v>
      </c>
      <c r="C76" s="190"/>
      <c r="D76" s="190"/>
      <c r="E76" s="191"/>
    </row>
    <row r="77" spans="1:5">
      <c r="B77" s="1" t="s">
        <v>162</v>
      </c>
      <c r="C77" s="1" t="s">
        <v>177</v>
      </c>
      <c r="D77" s="58" t="s">
        <v>81</v>
      </c>
      <c r="E77" s="58" t="s">
        <v>175</v>
      </c>
    </row>
    <row r="78" spans="1:5">
      <c r="B78" s="1" t="s">
        <v>163</v>
      </c>
      <c r="C78" s="44">
        <v>1.11E-8</v>
      </c>
      <c r="D78" s="57">
        <v>3.0667124555797766E-7</v>
      </c>
      <c r="E78" s="44">
        <v>1.0336265607264472E-10</v>
      </c>
    </row>
    <row r="79" spans="1:5">
      <c r="B79" s="1" t="s">
        <v>164</v>
      </c>
      <c r="C79" s="44">
        <v>6.91</v>
      </c>
      <c r="D79" s="57">
        <v>4.0200600232926211</v>
      </c>
      <c r="E79" s="44">
        <v>7.8022133938706016E-3</v>
      </c>
    </row>
    <row r="80" spans="1:5">
      <c r="B80" s="1" t="s">
        <v>165</v>
      </c>
      <c r="C80" s="44">
        <v>1.65E-3</v>
      </c>
      <c r="D80" s="57">
        <v>5.7934198345626655E-4</v>
      </c>
      <c r="E80" s="44">
        <v>1.4537457434733258E-6</v>
      </c>
    </row>
    <row r="81" spans="1:6">
      <c r="B81" s="1" t="s">
        <v>166</v>
      </c>
      <c r="C81" s="44">
        <v>1.64E-4</v>
      </c>
      <c r="D81" s="57">
        <v>1.1066831904918326E-4</v>
      </c>
      <c r="E81" s="44">
        <v>1.5604426787741203E-7</v>
      </c>
    </row>
    <row r="82" spans="1:6">
      <c r="B82" s="1" t="s">
        <v>167</v>
      </c>
      <c r="C82" s="44">
        <v>9.7900000000000005E-4</v>
      </c>
      <c r="D82" s="57">
        <v>7.7334488010272629E-4</v>
      </c>
      <c r="E82" s="44">
        <v>1.2937003405221339E-6</v>
      </c>
    </row>
    <row r="83" spans="1:6">
      <c r="B83" s="148" t="s">
        <v>168</v>
      </c>
      <c r="C83" s="151">
        <v>0.77300000000000002</v>
      </c>
      <c r="D83" s="150">
        <v>0.40467270881237499</v>
      </c>
      <c r="E83" s="151">
        <v>5.3881952326901195E-4</v>
      </c>
    </row>
    <row r="84" spans="1:6">
      <c r="B84" s="1" t="s">
        <v>169</v>
      </c>
      <c r="C84" s="44">
        <v>0.77300000000000002</v>
      </c>
      <c r="D84" s="57">
        <v>0.40467270881237488</v>
      </c>
      <c r="E84" s="44">
        <v>5.4615493757094208E-4</v>
      </c>
    </row>
    <row r="85" spans="1:6">
      <c r="B85" s="1" t="s">
        <v>170</v>
      </c>
      <c r="C85" s="44">
        <v>7.1999999999999995E-2</v>
      </c>
      <c r="D85" s="57">
        <v>1.5800235912443634E-2</v>
      </c>
      <c r="E85" s="44">
        <v>1.56711123723042E-5</v>
      </c>
    </row>
    <row r="86" spans="1:6">
      <c r="B86" s="1" t="s">
        <v>171</v>
      </c>
      <c r="C86" s="44">
        <v>40.4</v>
      </c>
      <c r="D86" s="57">
        <v>47.600710723564369</v>
      </c>
      <c r="E86" s="44">
        <v>4.9747446083995457E-2</v>
      </c>
    </row>
    <row r="87" spans="1:6">
      <c r="B87" s="1" t="s">
        <v>172</v>
      </c>
      <c r="C87" s="44">
        <v>6.4699999999999997E-13</v>
      </c>
      <c r="D87" s="57">
        <v>1.6066906560754917E-11</v>
      </c>
      <c r="E87" s="44">
        <v>8.8024971623155496E-16</v>
      </c>
    </row>
    <row r="88" spans="1:6">
      <c r="B88" s="1" t="s">
        <v>173</v>
      </c>
      <c r="C88" s="44">
        <v>2.31E-4</v>
      </c>
      <c r="D88" s="57">
        <v>3.86005763430585E-5</v>
      </c>
      <c r="E88" s="44">
        <v>1.3403802497162316E-7</v>
      </c>
    </row>
    <row r="89" spans="1:6">
      <c r="B89" s="1" t="s">
        <v>174</v>
      </c>
      <c r="C89" s="44">
        <v>5.62E-4</v>
      </c>
      <c r="D89" s="57">
        <v>5.7067518738614976E-4</v>
      </c>
      <c r="E89" s="44">
        <v>5.9950340522133935E-6</v>
      </c>
    </row>
    <row r="90" spans="1:6" ht="15.75" thickBot="1"/>
    <row r="91" spans="1:6" ht="15.75" thickBot="1">
      <c r="A91" s="135">
        <v>0.41499999999999998</v>
      </c>
      <c r="B91" s="179" t="s">
        <v>588</v>
      </c>
      <c r="C91" s="180"/>
      <c r="D91" s="180"/>
      <c r="E91" s="180"/>
      <c r="F91" s="184"/>
    </row>
    <row r="92" spans="1:6">
      <c r="B92" s="115" t="s">
        <v>162</v>
      </c>
      <c r="C92" s="115" t="s">
        <v>177</v>
      </c>
      <c r="D92" s="58" t="s">
        <v>81</v>
      </c>
      <c r="E92" s="58" t="s">
        <v>175</v>
      </c>
      <c r="F92" s="1" t="s">
        <v>288</v>
      </c>
    </row>
    <row r="93" spans="1:6">
      <c r="B93" s="1" t="s">
        <v>163</v>
      </c>
      <c r="C93" s="57">
        <v>1.1346699999999999E-4</v>
      </c>
      <c r="D93" s="57">
        <v>2.8738823024054981E-7</v>
      </c>
      <c r="E93" s="44">
        <v>1.4460936426116838E-9</v>
      </c>
      <c r="F93" s="116">
        <v>1.8E-7</v>
      </c>
    </row>
    <row r="94" spans="1:6">
      <c r="B94" s="1" t="s">
        <v>164</v>
      </c>
      <c r="C94" s="57">
        <v>98.300000000000011</v>
      </c>
      <c r="D94" s="57">
        <v>3.7250640034364264</v>
      </c>
      <c r="E94" s="44">
        <v>0.10799939862542955</v>
      </c>
      <c r="F94" s="116">
        <v>1.88</v>
      </c>
    </row>
    <row r="95" spans="1:6">
      <c r="B95" s="1" t="s">
        <v>165</v>
      </c>
      <c r="C95" s="57">
        <v>1.6309999999999998E-2</v>
      </c>
      <c r="D95" s="57">
        <v>5.4182749140893464E-4</v>
      </c>
      <c r="E95" s="44">
        <v>1.9128707044673542E-5</v>
      </c>
      <c r="F95" s="116">
        <v>2.7399999999999999E-4</v>
      </c>
    </row>
    <row r="96" spans="1:6">
      <c r="B96" s="1" t="s">
        <v>166</v>
      </c>
      <c r="C96" s="57">
        <v>1.0809999999999999E-3</v>
      </c>
      <c r="D96" s="57">
        <v>1.0342315292096219E-4</v>
      </c>
      <c r="E96" s="44">
        <v>2.1142255154639176E-5</v>
      </c>
      <c r="F96" s="116">
        <v>5.3699999999999997E-5</v>
      </c>
    </row>
    <row r="97" spans="2:6">
      <c r="B97" s="1" t="s">
        <v>167</v>
      </c>
      <c r="C97" s="57">
        <v>2.503E-2</v>
      </c>
      <c r="D97" s="57">
        <v>7.1847057560137453E-4</v>
      </c>
      <c r="E97" s="44">
        <v>3.4413367697594504E-5</v>
      </c>
      <c r="F97" s="116">
        <v>3.86E-4</v>
      </c>
    </row>
    <row r="98" spans="2:6">
      <c r="B98" s="148" t="s">
        <v>168</v>
      </c>
      <c r="C98" s="151">
        <v>3.83</v>
      </c>
      <c r="D98" s="150">
        <v>0.369760652920962</v>
      </c>
      <c r="E98" s="151">
        <v>7.4501280068728498E-3</v>
      </c>
      <c r="F98" s="153">
        <v>0.186</v>
      </c>
    </row>
    <row r="99" spans="2:6">
      <c r="B99" s="1" t="s">
        <v>169</v>
      </c>
      <c r="C99" s="57">
        <v>3.83</v>
      </c>
      <c r="D99" s="57">
        <v>0.36976065292096222</v>
      </c>
      <c r="E99" s="44">
        <v>7.5416529209622E-3</v>
      </c>
      <c r="F99" s="116">
        <v>0.186</v>
      </c>
    </row>
    <row r="100" spans="2:6">
      <c r="B100" s="1" t="s">
        <v>170</v>
      </c>
      <c r="C100" s="57">
        <v>0.13740000000000002</v>
      </c>
      <c r="D100" s="57">
        <v>1.4827036082474225E-2</v>
      </c>
      <c r="E100" s="44">
        <v>2.2057504295532645E-4</v>
      </c>
      <c r="F100" s="116">
        <v>7.4400000000000004E-3</v>
      </c>
    </row>
    <row r="101" spans="2:6">
      <c r="B101" s="1" t="s">
        <v>171</v>
      </c>
      <c r="C101" s="57">
        <v>196.4</v>
      </c>
      <c r="D101" s="57">
        <v>44.664158075601378</v>
      </c>
      <c r="E101" s="44">
        <v>0.71480957903780074</v>
      </c>
      <c r="F101" s="116">
        <v>22.3</v>
      </c>
    </row>
    <row r="102" spans="2:6">
      <c r="B102" s="1" t="s">
        <v>172</v>
      </c>
      <c r="C102" s="57">
        <v>2.8209999999999999E-11</v>
      </c>
      <c r="D102" s="57">
        <v>1.5101610824742272E-11</v>
      </c>
      <c r="E102" s="44">
        <v>1.2447388316151203E-14</v>
      </c>
      <c r="F102" s="116">
        <v>7.4699999999999995E-12</v>
      </c>
    </row>
    <row r="103" spans="2:6">
      <c r="B103" s="1" t="s">
        <v>173</v>
      </c>
      <c r="C103" s="57">
        <v>1.1949999999999999E-3</v>
      </c>
      <c r="D103" s="57">
        <v>3.6060816151202756E-5</v>
      </c>
      <c r="E103" s="44">
        <v>1.7481258591065291E-6</v>
      </c>
      <c r="F103" s="116">
        <v>1.8300000000000001E-5</v>
      </c>
    </row>
    <row r="104" spans="2:6">
      <c r="B104" s="1" t="s">
        <v>174</v>
      </c>
      <c r="C104" s="57">
        <v>1.072E-2</v>
      </c>
      <c r="D104" s="57">
        <v>5.0979377147766325E-4</v>
      </c>
      <c r="E104" s="44">
        <v>1.5833810137457047E-4</v>
      </c>
      <c r="F104" s="116">
        <v>2.7500000000000002E-4</v>
      </c>
    </row>
    <row r="106" spans="2:6" ht="15.75" thickBot="1"/>
    <row r="107" spans="2:6" ht="15.75" thickBot="1">
      <c r="B107" s="179" t="s">
        <v>584</v>
      </c>
      <c r="C107" s="180"/>
      <c r="D107" s="180"/>
      <c r="E107" s="181"/>
    </row>
    <row r="108" spans="2:6">
      <c r="B108" s="73" t="s">
        <v>179</v>
      </c>
      <c r="C108" s="137" t="s">
        <v>189</v>
      </c>
      <c r="D108" s="115" t="s">
        <v>595</v>
      </c>
      <c r="E108" s="115" t="s">
        <v>596</v>
      </c>
    </row>
    <row r="109" spans="2:6" ht="60">
      <c r="B109" s="172" t="s">
        <v>605</v>
      </c>
      <c r="C109" s="174">
        <v>0.2</v>
      </c>
      <c r="D109" s="34" t="s">
        <v>617</v>
      </c>
      <c r="E109" s="138" t="s">
        <v>620</v>
      </c>
    </row>
    <row r="110" spans="2:6">
      <c r="B110" s="173"/>
      <c r="C110" s="175"/>
      <c r="D110" s="1"/>
      <c r="E110" s="1"/>
    </row>
    <row r="111" spans="2:6" ht="30">
      <c r="B111" s="34" t="s">
        <v>600</v>
      </c>
      <c r="C111" s="134">
        <v>0</v>
      </c>
      <c r="D111" s="34" t="s">
        <v>607</v>
      </c>
      <c r="E111" s="138" t="s">
        <v>622</v>
      </c>
    </row>
    <row r="112" spans="2:6">
      <c r="B112" s="139" t="s">
        <v>601</v>
      </c>
      <c r="C112" s="134" t="s">
        <v>688</v>
      </c>
      <c r="D112" s="1" t="s">
        <v>689</v>
      </c>
      <c r="E112" s="1" t="s">
        <v>690</v>
      </c>
    </row>
    <row r="113" spans="2:5">
      <c r="B113" s="34" t="s">
        <v>602</v>
      </c>
      <c r="C113" s="134">
        <v>1</v>
      </c>
      <c r="D113" s="1" t="s">
        <v>631</v>
      </c>
      <c r="E113" s="1" t="s">
        <v>597</v>
      </c>
    </row>
    <row r="114" spans="2:5" ht="30">
      <c r="B114" s="139" t="s">
        <v>603</v>
      </c>
      <c r="C114" s="158" t="s">
        <v>766</v>
      </c>
      <c r="D114" s="138" t="s">
        <v>767</v>
      </c>
      <c r="E114" s="34" t="s">
        <v>619</v>
      </c>
    </row>
    <row r="115" spans="2:5" ht="30">
      <c r="B115" s="34" t="s">
        <v>604</v>
      </c>
      <c r="C115" s="158" t="s">
        <v>766</v>
      </c>
      <c r="D115" s="138" t="s">
        <v>767</v>
      </c>
      <c r="E115" s="34" t="s">
        <v>696</v>
      </c>
    </row>
    <row r="116" spans="2:5" ht="15.75" thickBot="1"/>
    <row r="117" spans="2:5" ht="15.75" thickBot="1">
      <c r="B117" s="179" t="s">
        <v>585</v>
      </c>
      <c r="C117" s="180"/>
      <c r="D117" s="180"/>
      <c r="E117" s="181"/>
    </row>
    <row r="118" spans="2:5">
      <c r="B118" s="73" t="s">
        <v>179</v>
      </c>
      <c r="C118" s="137" t="s">
        <v>189</v>
      </c>
      <c r="D118" s="115" t="s">
        <v>595</v>
      </c>
      <c r="E118" s="115" t="s">
        <v>596</v>
      </c>
    </row>
    <row r="119" spans="2:5">
      <c r="B119" s="172" t="s">
        <v>605</v>
      </c>
      <c r="C119" s="174">
        <v>0.2</v>
      </c>
      <c r="D119" s="185" t="s">
        <v>617</v>
      </c>
      <c r="E119" s="187" t="s">
        <v>621</v>
      </c>
    </row>
    <row r="120" spans="2:5">
      <c r="B120" s="173"/>
      <c r="C120" s="175"/>
      <c r="D120" s="186"/>
      <c r="E120" s="188"/>
    </row>
    <row r="121" spans="2:5" ht="30">
      <c r="B121" s="34" t="s">
        <v>600</v>
      </c>
      <c r="C121" s="134">
        <v>0</v>
      </c>
      <c r="D121" s="34" t="s">
        <v>607</v>
      </c>
      <c r="E121" s="138" t="s">
        <v>622</v>
      </c>
    </row>
    <row r="122" spans="2:5" ht="75">
      <c r="B122" s="139" t="s">
        <v>601</v>
      </c>
      <c r="C122" s="158" t="s">
        <v>776</v>
      </c>
      <c r="D122" s="37" t="s">
        <v>777</v>
      </c>
      <c r="E122" s="36" t="s">
        <v>707</v>
      </c>
    </row>
    <row r="123" spans="2:5">
      <c r="B123" s="34" t="s">
        <v>602</v>
      </c>
      <c r="C123" s="134">
        <v>1</v>
      </c>
      <c r="D123" s="1" t="s">
        <v>631</v>
      </c>
      <c r="E123" s="1" t="s">
        <v>597</v>
      </c>
    </row>
    <row r="124" spans="2:5">
      <c r="B124" s="139" t="s">
        <v>603</v>
      </c>
      <c r="C124" s="158" t="s">
        <v>782</v>
      </c>
      <c r="D124" s="1" t="s">
        <v>783</v>
      </c>
      <c r="E124" s="1" t="s">
        <v>625</v>
      </c>
    </row>
    <row r="125" spans="2:5">
      <c r="B125" s="34" t="s">
        <v>604</v>
      </c>
      <c r="C125" s="158" t="s">
        <v>782</v>
      </c>
      <c r="D125" s="1" t="s">
        <v>783</v>
      </c>
      <c r="E125" s="1" t="s">
        <v>625</v>
      </c>
    </row>
    <row r="126" spans="2:5" ht="15.75" thickBot="1"/>
    <row r="127" spans="2:5" ht="15.75" thickBot="1">
      <c r="B127" s="179" t="s">
        <v>589</v>
      </c>
      <c r="C127" s="180"/>
      <c r="D127" s="180"/>
      <c r="E127" s="181"/>
    </row>
    <row r="128" spans="2:5">
      <c r="B128" s="73" t="s">
        <v>179</v>
      </c>
      <c r="C128" s="137" t="s">
        <v>189</v>
      </c>
      <c r="D128" s="115" t="s">
        <v>595</v>
      </c>
      <c r="E128" s="115" t="s">
        <v>596</v>
      </c>
    </row>
    <row r="129" spans="2:5">
      <c r="B129" s="172" t="s">
        <v>605</v>
      </c>
      <c r="C129" s="174" t="s">
        <v>556</v>
      </c>
      <c r="D129" s="182" t="s">
        <v>627</v>
      </c>
      <c r="E129" s="182" t="s">
        <v>629</v>
      </c>
    </row>
    <row r="130" spans="2:5" ht="41.25" customHeight="1">
      <c r="B130" s="173"/>
      <c r="C130" s="175"/>
      <c r="D130" s="183"/>
      <c r="E130" s="183"/>
    </row>
    <row r="131" spans="2:5">
      <c r="B131" s="34" t="s">
        <v>600</v>
      </c>
      <c r="C131" s="134">
        <v>0</v>
      </c>
      <c r="D131" s="1" t="s">
        <v>607</v>
      </c>
      <c r="E131" s="1" t="s">
        <v>630</v>
      </c>
    </row>
    <row r="132" spans="2:5" ht="90">
      <c r="B132" s="139" t="s">
        <v>601</v>
      </c>
      <c r="C132" s="134" t="s">
        <v>555</v>
      </c>
      <c r="D132" s="37" t="s">
        <v>632</v>
      </c>
      <c r="E132" s="36" t="s">
        <v>633</v>
      </c>
    </row>
    <row r="133" spans="2:5">
      <c r="B133" s="34" t="s">
        <v>602</v>
      </c>
      <c r="C133" s="134">
        <v>1</v>
      </c>
      <c r="D133" s="1" t="s">
        <v>631</v>
      </c>
      <c r="E133" s="1" t="s">
        <v>597</v>
      </c>
    </row>
    <row r="134" spans="2:5" ht="75">
      <c r="B134" s="139" t="s">
        <v>603</v>
      </c>
      <c r="C134" s="134" t="s">
        <v>714</v>
      </c>
      <c r="D134" s="36" t="s">
        <v>792</v>
      </c>
      <c r="E134" s="36" t="s">
        <v>716</v>
      </c>
    </row>
    <row r="135" spans="2:5" ht="120">
      <c r="B135" s="34" t="s">
        <v>604</v>
      </c>
      <c r="C135" s="134" t="s">
        <v>719</v>
      </c>
      <c r="D135" s="36" t="s">
        <v>721</v>
      </c>
      <c r="E135" s="36" t="s">
        <v>722</v>
      </c>
    </row>
    <row r="137" spans="2:5" ht="15.75" thickBot="1"/>
    <row r="138" spans="2:5" ht="15.75" thickBot="1">
      <c r="B138" s="130" t="s">
        <v>590</v>
      </c>
    </row>
    <row r="139" spans="2:5" ht="15.75" thickBot="1"/>
    <row r="140" spans="2:5" ht="15.75" thickBot="1">
      <c r="B140" s="176" t="s">
        <v>300</v>
      </c>
      <c r="C140" s="177"/>
      <c r="D140" s="177"/>
      <c r="E140" s="178"/>
    </row>
    <row r="141" spans="2:5" ht="15.75" thickBot="1"/>
    <row r="142" spans="2:5" ht="15.75" thickBot="1">
      <c r="B142" s="176" t="s">
        <v>591</v>
      </c>
      <c r="C142" s="177"/>
      <c r="D142" s="177"/>
      <c r="E142" s="178"/>
    </row>
    <row r="143" spans="2:5">
      <c r="B143" s="1" t="s">
        <v>162</v>
      </c>
      <c r="C143" s="58" t="s">
        <v>81</v>
      </c>
      <c r="D143" s="58" t="s">
        <v>175</v>
      </c>
      <c r="E143" s="58" t="s">
        <v>177</v>
      </c>
    </row>
    <row r="144" spans="2:5">
      <c r="B144" s="161" t="s">
        <v>163</v>
      </c>
      <c r="C144" s="162">
        <v>9.2199999999999998E-6</v>
      </c>
      <c r="D144" s="163">
        <v>3.8800000000000001E-6</v>
      </c>
      <c r="E144" s="162">
        <v>4.4900000000000002E-4</v>
      </c>
    </row>
    <row r="145" spans="2:5">
      <c r="B145" s="161" t="s">
        <v>164</v>
      </c>
      <c r="C145" s="162">
        <v>1030</v>
      </c>
      <c r="D145" s="163">
        <v>137</v>
      </c>
      <c r="E145" s="162">
        <v>1140</v>
      </c>
    </row>
    <row r="146" spans="2:5">
      <c r="B146" s="161" t="s">
        <v>165</v>
      </c>
      <c r="C146" s="162">
        <v>3.6299999999999999E-2</v>
      </c>
      <c r="D146" s="163">
        <v>6.1199999999999997E-2</v>
      </c>
      <c r="E146" s="162">
        <v>0.108</v>
      </c>
    </row>
    <row r="147" spans="2:5">
      <c r="B147" s="161" t="s">
        <v>166</v>
      </c>
      <c r="C147" s="162">
        <v>6.2300000000000003E-3</v>
      </c>
      <c r="D147" s="163">
        <v>6.8500000000000002E-3</v>
      </c>
      <c r="E147" s="162">
        <v>1.8100000000000002E-2</v>
      </c>
    </row>
    <row r="148" spans="2:5">
      <c r="B148" s="36" t="s">
        <v>167</v>
      </c>
      <c r="C148" s="44">
        <v>0.40500000000000003</v>
      </c>
      <c r="D148" s="57">
        <v>4.2299999999999997E-2</v>
      </c>
      <c r="E148" s="44">
        <v>0.10100000000000001</v>
      </c>
    </row>
    <row r="149" spans="2:5">
      <c r="B149" s="148" t="s">
        <v>168</v>
      </c>
      <c r="C149" s="151">
        <v>7.63</v>
      </c>
      <c r="D149" s="150">
        <v>10.199999999999999</v>
      </c>
      <c r="E149" s="151">
        <v>156</v>
      </c>
    </row>
    <row r="150" spans="2:5">
      <c r="B150" s="36" t="s">
        <v>169</v>
      </c>
      <c r="C150" s="44">
        <v>11.6</v>
      </c>
      <c r="D150" s="57">
        <v>10.6</v>
      </c>
      <c r="E150" s="44">
        <v>156</v>
      </c>
    </row>
    <row r="151" spans="2:5">
      <c r="B151" s="161" t="s">
        <v>170</v>
      </c>
      <c r="C151" s="162">
        <v>1.32</v>
      </c>
      <c r="D151" s="163">
        <v>0.52600000000000002</v>
      </c>
      <c r="E151" s="162">
        <v>4.6100000000000003</v>
      </c>
    </row>
    <row r="152" spans="2:5">
      <c r="B152" s="36" t="s">
        <v>171</v>
      </c>
      <c r="C152" s="44">
        <v>1330</v>
      </c>
      <c r="D152" s="57">
        <v>2210</v>
      </c>
      <c r="E152" s="44">
        <v>3890</v>
      </c>
    </row>
    <row r="153" spans="2:5">
      <c r="B153" s="161" t="s">
        <v>172</v>
      </c>
      <c r="C153" s="162">
        <v>6.2800000000000005E-11</v>
      </c>
      <c r="D153" s="163">
        <v>3.0099999999999998E-11</v>
      </c>
      <c r="E153" s="162">
        <v>5.2700000000000004E-10</v>
      </c>
    </row>
    <row r="154" spans="2:5">
      <c r="B154" s="161" t="s">
        <v>173</v>
      </c>
      <c r="C154" s="162">
        <v>5.4900000000000001E-3</v>
      </c>
      <c r="D154" s="163">
        <v>4.7699999999999999E-3</v>
      </c>
      <c r="E154" s="162">
        <v>9.3100000000000006E-3</v>
      </c>
    </row>
    <row r="155" spans="2:5">
      <c r="B155" s="36" t="s">
        <v>174</v>
      </c>
      <c r="C155" s="44">
        <v>0.152</v>
      </c>
      <c r="D155" s="57">
        <v>0.28299999999999997</v>
      </c>
      <c r="E155" s="44">
        <v>0.19500000000000001</v>
      </c>
    </row>
    <row r="156" spans="2:5" ht="15.75" thickBot="1"/>
    <row r="157" spans="2:5" ht="15.75" thickBot="1">
      <c r="B157" s="179" t="s">
        <v>592</v>
      </c>
      <c r="C157" s="180"/>
      <c r="D157" s="180"/>
      <c r="E157" s="181"/>
    </row>
    <row r="158" spans="2:5">
      <c r="B158" s="73" t="s">
        <v>179</v>
      </c>
      <c r="C158" s="137" t="s">
        <v>189</v>
      </c>
      <c r="D158" s="115" t="s">
        <v>595</v>
      </c>
      <c r="E158" s="115" t="s">
        <v>596</v>
      </c>
    </row>
    <row r="159" spans="2:5" ht="45" customHeight="1">
      <c r="B159" s="172" t="s">
        <v>605</v>
      </c>
      <c r="C159" s="174">
        <v>0.5</v>
      </c>
      <c r="D159" s="182" t="s">
        <v>599</v>
      </c>
      <c r="E159" s="182" t="s">
        <v>657</v>
      </c>
    </row>
    <row r="160" spans="2:5">
      <c r="B160" s="173"/>
      <c r="C160" s="175"/>
      <c r="D160" s="183"/>
      <c r="E160" s="183"/>
    </row>
    <row r="161" spans="2:6" ht="30">
      <c r="B161" s="34" t="s">
        <v>600</v>
      </c>
      <c r="C161" s="134">
        <v>0</v>
      </c>
      <c r="D161" s="37" t="s">
        <v>607</v>
      </c>
      <c r="E161" s="138" t="s">
        <v>598</v>
      </c>
    </row>
    <row r="162" spans="2:6" ht="80.25" customHeight="1">
      <c r="B162" s="139" t="s">
        <v>601</v>
      </c>
      <c r="C162" s="158" t="s">
        <v>748</v>
      </c>
      <c r="D162" s="34" t="s">
        <v>749</v>
      </c>
      <c r="E162" s="36" t="s">
        <v>606</v>
      </c>
    </row>
    <row r="163" spans="2:6" ht="45">
      <c r="B163" s="34" t="s">
        <v>602</v>
      </c>
      <c r="C163" s="134">
        <v>1</v>
      </c>
      <c r="D163" s="37" t="s">
        <v>631</v>
      </c>
      <c r="E163" s="138" t="s">
        <v>597</v>
      </c>
    </row>
    <row r="164" spans="2:6" ht="75">
      <c r="B164" s="139" t="s">
        <v>603</v>
      </c>
      <c r="C164" s="136">
        <v>0.52</v>
      </c>
      <c r="D164" s="155" t="s">
        <v>658</v>
      </c>
      <c r="E164" s="36" t="s">
        <v>659</v>
      </c>
    </row>
    <row r="165" spans="2:6" ht="208.5" customHeight="1">
      <c r="B165" s="34" t="s">
        <v>604</v>
      </c>
      <c r="C165" s="136" t="s">
        <v>639</v>
      </c>
      <c r="D165" s="36" t="s">
        <v>678</v>
      </c>
      <c r="E165" s="36" t="s">
        <v>679</v>
      </c>
      <c r="F165" s="140"/>
    </row>
    <row r="166" spans="2:6" ht="15.75" thickBot="1"/>
    <row r="167" spans="2:6" ht="15.75" thickBot="1">
      <c r="B167" s="176" t="s">
        <v>213</v>
      </c>
      <c r="C167" s="177"/>
      <c r="D167" s="177"/>
      <c r="E167" s="178"/>
    </row>
    <row r="168" spans="2:6" ht="15.75" thickBot="1"/>
    <row r="169" spans="2:6" ht="15.75" thickBot="1">
      <c r="B169" s="176" t="s">
        <v>593</v>
      </c>
      <c r="C169" s="177"/>
      <c r="D169" s="177"/>
      <c r="E169" s="177"/>
      <c r="F169" s="178"/>
    </row>
    <row r="170" spans="2:6">
      <c r="B170" s="1" t="s">
        <v>162</v>
      </c>
      <c r="C170" s="58" t="s">
        <v>81</v>
      </c>
      <c r="D170" s="58" t="s">
        <v>288</v>
      </c>
      <c r="E170" s="58" t="s">
        <v>177</v>
      </c>
      <c r="F170" s="58" t="s">
        <v>175</v>
      </c>
    </row>
    <row r="171" spans="2:6">
      <c r="B171" s="36" t="s">
        <v>163</v>
      </c>
      <c r="C171" s="56">
        <v>7.2999999999999999E-5</v>
      </c>
      <c r="D171" s="57">
        <f>0.00000131+0.000000056+0.000000121</f>
        <v>1.4869999999999999E-6</v>
      </c>
      <c r="E171" s="44">
        <v>5.71E-4</v>
      </c>
      <c r="F171" s="44">
        <v>3.0899999999999997E-7</v>
      </c>
    </row>
    <row r="172" spans="2:6">
      <c r="B172" s="36" t="s">
        <v>164</v>
      </c>
      <c r="C172" s="56">
        <v>8470</v>
      </c>
      <c r="D172" s="57">
        <f>26.2+6.14+2.59</f>
        <v>34.929999999999993</v>
      </c>
      <c r="E172" s="44">
        <v>3970</v>
      </c>
      <c r="F172" s="44">
        <v>10.9</v>
      </c>
    </row>
    <row r="173" spans="2:6">
      <c r="B173" s="36" t="s">
        <v>165</v>
      </c>
      <c r="C173" s="56">
        <v>0.28899999999999998</v>
      </c>
      <c r="D173" s="57">
        <f>0.00342+0.000449+0.00038</f>
        <v>4.2490000000000002E-3</v>
      </c>
      <c r="E173" s="44">
        <v>0.441</v>
      </c>
      <c r="F173" s="44">
        <v>4.8700000000000002E-3</v>
      </c>
    </row>
    <row r="174" spans="2:6">
      <c r="B174" s="36" t="s">
        <v>166</v>
      </c>
      <c r="C174" s="56">
        <v>4.9399999999999999E-2</v>
      </c>
      <c r="D174" s="57">
        <f>0.000642+0.00119+0.000345</f>
        <v>2.1770000000000001E-3</v>
      </c>
      <c r="E174" s="44">
        <v>8.6300000000000002E-2</v>
      </c>
      <c r="F174" s="44">
        <v>5.4600000000000004E-4</v>
      </c>
    </row>
    <row r="175" spans="2:6">
      <c r="B175" s="36" t="s">
        <v>167</v>
      </c>
      <c r="C175" s="56">
        <v>3.29</v>
      </c>
      <c r="D175" s="57">
        <f>0.0041+0.000389+0.000433</f>
        <v>4.9220000000000002E-3</v>
      </c>
      <c r="E175" s="44">
        <v>0.56799999999999995</v>
      </c>
      <c r="F175" s="44">
        <v>3.3700000000000002E-3</v>
      </c>
    </row>
    <row r="176" spans="2:6">
      <c r="B176" s="148" t="s">
        <v>168</v>
      </c>
      <c r="C176" s="151">
        <v>84.6</v>
      </c>
      <c r="D176" s="150">
        <f>2.66+20.6+0.562</f>
        <v>23.822000000000003</v>
      </c>
      <c r="E176" s="151">
        <v>414</v>
      </c>
      <c r="F176" s="151">
        <v>0.81499999999999995</v>
      </c>
    </row>
    <row r="177" spans="2:6">
      <c r="B177" s="36" t="s">
        <v>169</v>
      </c>
      <c r="C177" s="56">
        <v>117</v>
      </c>
      <c r="D177" s="57"/>
      <c r="E177" s="44">
        <v>413</v>
      </c>
      <c r="F177" s="44">
        <v>0.84299999999999997</v>
      </c>
    </row>
    <row r="178" spans="2:6">
      <c r="B178" s="36" t="s">
        <v>170</v>
      </c>
      <c r="C178" s="56">
        <v>10.6</v>
      </c>
      <c r="D178" s="57">
        <f>7.72+0.00813+0.00863</f>
        <v>7.7367600000000003</v>
      </c>
      <c r="E178" s="44">
        <v>12.4</v>
      </c>
      <c r="F178" s="44">
        <v>4.19E-2</v>
      </c>
    </row>
    <row r="179" spans="2:6">
      <c r="B179" s="36" t="s">
        <v>171</v>
      </c>
      <c r="C179" s="56">
        <v>10200</v>
      </c>
      <c r="D179" s="57">
        <f>291+11.1+27.8</f>
        <v>329.90000000000003</v>
      </c>
      <c r="E179" s="44">
        <v>16400</v>
      </c>
      <c r="F179" s="44">
        <v>176</v>
      </c>
    </row>
    <row r="180" spans="2:6">
      <c r="B180" s="36" t="s">
        <v>172</v>
      </c>
      <c r="C180" s="56">
        <v>2.8999999999999998E-10</v>
      </c>
      <c r="D180" s="57">
        <f>0.000000000068+0.000000000000818+0.00000000000617</f>
        <v>7.4988E-11</v>
      </c>
      <c r="E180" s="44">
        <v>3.2599999999999999E-9</v>
      </c>
      <c r="F180" s="44">
        <v>2.3900000000000001E-12</v>
      </c>
    </row>
    <row r="181" spans="2:6">
      <c r="B181" s="36" t="s">
        <v>173</v>
      </c>
      <c r="C181" s="56">
        <v>4.4400000000000002E-2</v>
      </c>
      <c r="D181" s="57">
        <f>0.000237+0.000316+0.000095</f>
        <v>6.4800000000000003E-4</v>
      </c>
      <c r="E181" s="44">
        <v>4.2599999999999999E-2</v>
      </c>
      <c r="F181" s="44">
        <v>3.8000000000000002E-4</v>
      </c>
    </row>
    <row r="182" spans="2:6">
      <c r="B182" s="36" t="s">
        <v>174</v>
      </c>
      <c r="C182" s="56">
        <v>1.24</v>
      </c>
      <c r="D182" s="57">
        <f>0.003+0.00196+0.000648</f>
        <v>5.6080000000000001E-3</v>
      </c>
      <c r="E182" s="44">
        <v>0.41299999999999998</v>
      </c>
      <c r="F182" s="44">
        <v>2.2599999999999999E-2</v>
      </c>
    </row>
    <row r="183" spans="2:6" ht="15.75" thickBot="1"/>
    <row r="184" spans="2:6" ht="15.75" thickBot="1">
      <c r="B184" s="179" t="s">
        <v>594</v>
      </c>
      <c r="C184" s="180"/>
      <c r="D184" s="180"/>
      <c r="E184" s="181"/>
    </row>
    <row r="185" spans="2:6">
      <c r="B185" s="73" t="s">
        <v>179</v>
      </c>
      <c r="C185" s="137" t="s">
        <v>189</v>
      </c>
      <c r="D185" s="115" t="s">
        <v>595</v>
      </c>
      <c r="E185" s="115" t="s">
        <v>596</v>
      </c>
    </row>
    <row r="186" spans="2:6">
      <c r="B186" s="172" t="s">
        <v>605</v>
      </c>
      <c r="C186" s="174" t="s">
        <v>293</v>
      </c>
      <c r="D186" s="182" t="s">
        <v>608</v>
      </c>
      <c r="E186" s="182" t="s">
        <v>628</v>
      </c>
    </row>
    <row r="187" spans="2:6">
      <c r="B187" s="173"/>
      <c r="C187" s="175"/>
      <c r="D187" s="183"/>
      <c r="E187" s="183"/>
    </row>
    <row r="188" spans="2:6" ht="135">
      <c r="B188" s="34" t="s">
        <v>600</v>
      </c>
      <c r="C188" s="134">
        <v>0.6</v>
      </c>
      <c r="D188" s="36" t="s">
        <v>663</v>
      </c>
      <c r="E188" s="36" t="s">
        <v>614</v>
      </c>
    </row>
    <row r="189" spans="2:6" ht="120">
      <c r="B189" s="139" t="s">
        <v>601</v>
      </c>
      <c r="C189" s="134" t="s">
        <v>557</v>
      </c>
      <c r="D189" s="34" t="s">
        <v>615</v>
      </c>
      <c r="E189" s="36" t="s">
        <v>616</v>
      </c>
    </row>
    <row r="190" spans="2:6">
      <c r="B190" s="34" t="s">
        <v>602</v>
      </c>
      <c r="C190" s="134">
        <v>1</v>
      </c>
      <c r="D190" s="1" t="s">
        <v>607</v>
      </c>
      <c r="E190" s="1" t="s">
        <v>597</v>
      </c>
    </row>
    <row r="191" spans="2:6" ht="69.75" customHeight="1">
      <c r="B191" s="81" t="s">
        <v>603</v>
      </c>
      <c r="C191" s="159" t="s">
        <v>758</v>
      </c>
      <c r="D191" s="36" t="s">
        <v>673</v>
      </c>
      <c r="E191" s="45" t="s">
        <v>676</v>
      </c>
    </row>
    <row r="192" spans="2:6" ht="72" customHeight="1">
      <c r="B192" s="34" t="s">
        <v>604</v>
      </c>
      <c r="C192" s="158" t="s">
        <v>639</v>
      </c>
      <c r="D192" s="36" t="s">
        <v>675</v>
      </c>
      <c r="E192" s="36" t="s">
        <v>677</v>
      </c>
    </row>
  </sheetData>
  <mergeCells count="42">
    <mergeCell ref="B4:E4"/>
    <mergeCell ref="B37:E37"/>
    <mergeCell ref="B47:E47"/>
    <mergeCell ref="B107:E107"/>
    <mergeCell ref="B117:E117"/>
    <mergeCell ref="B76:E76"/>
    <mergeCell ref="B6:E6"/>
    <mergeCell ref="B21:E21"/>
    <mergeCell ref="B39:B40"/>
    <mergeCell ref="C39:C40"/>
    <mergeCell ref="B49:B50"/>
    <mergeCell ref="C49:C50"/>
    <mergeCell ref="B58:E58"/>
    <mergeCell ref="B61:E61"/>
    <mergeCell ref="D49:D50"/>
    <mergeCell ref="E49:E50"/>
    <mergeCell ref="B140:E140"/>
    <mergeCell ref="B91:F91"/>
    <mergeCell ref="B109:B110"/>
    <mergeCell ref="C109:C110"/>
    <mergeCell ref="B127:E127"/>
    <mergeCell ref="B119:B120"/>
    <mergeCell ref="C119:C120"/>
    <mergeCell ref="B129:B130"/>
    <mergeCell ref="C129:C130"/>
    <mergeCell ref="D119:D120"/>
    <mergeCell ref="E119:E120"/>
    <mergeCell ref="D129:D130"/>
    <mergeCell ref="E129:E130"/>
    <mergeCell ref="B186:B187"/>
    <mergeCell ref="C186:C187"/>
    <mergeCell ref="B169:F169"/>
    <mergeCell ref="B142:E142"/>
    <mergeCell ref="B159:B160"/>
    <mergeCell ref="C159:C160"/>
    <mergeCell ref="B167:E167"/>
    <mergeCell ref="B157:E157"/>
    <mergeCell ref="B184:E184"/>
    <mergeCell ref="D159:D160"/>
    <mergeCell ref="E159:E160"/>
    <mergeCell ref="D186:D187"/>
    <mergeCell ref="E186:E18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0EC7-1BC4-45AB-9851-5351B74C0381}">
  <dimension ref="A1:K41"/>
  <sheetViews>
    <sheetView tabSelected="1" zoomScale="115" zoomScaleNormal="115" workbookViewId="0">
      <selection activeCell="F20" sqref="F20"/>
    </sheetView>
  </sheetViews>
  <sheetFormatPr baseColWidth="10" defaultColWidth="9.140625" defaultRowHeight="15"/>
  <cols>
    <col min="1" max="1" width="34.85546875" customWidth="1"/>
    <col min="2" max="2" width="24.7109375" customWidth="1"/>
    <col min="3" max="4" width="15.42578125" bestFit="1" customWidth="1"/>
    <col min="5" max="6" width="16.28515625" bestFit="1" customWidth="1"/>
    <col min="7" max="7" width="16.7109375" bestFit="1" customWidth="1"/>
    <col min="8" max="8" width="18.42578125" customWidth="1"/>
    <col min="9" max="9" width="20.28515625" customWidth="1"/>
    <col min="10" max="10" width="28" customWidth="1"/>
    <col min="11" max="11" width="25.140625" customWidth="1"/>
  </cols>
  <sheetData>
    <row r="1" spans="1:11">
      <c r="A1" t="s">
        <v>835</v>
      </c>
      <c r="B1" t="s">
        <v>79</v>
      </c>
      <c r="C1" t="s">
        <v>739</v>
      </c>
      <c r="D1" t="s">
        <v>740</v>
      </c>
      <c r="E1" t="s">
        <v>741</v>
      </c>
      <c r="F1" t="s">
        <v>742</v>
      </c>
      <c r="G1" t="s">
        <v>743</v>
      </c>
      <c r="H1" s="164" t="s">
        <v>737</v>
      </c>
      <c r="I1" s="164" t="s">
        <v>738</v>
      </c>
      <c r="J1" s="165" t="s">
        <v>794</v>
      </c>
      <c r="K1" s="165" t="s">
        <v>793</v>
      </c>
    </row>
    <row r="2" spans="1:11">
      <c r="A2" s="192" t="s">
        <v>168</v>
      </c>
      <c r="B2" t="s">
        <v>795</v>
      </c>
      <c r="C2">
        <v>0</v>
      </c>
      <c r="D2">
        <v>0</v>
      </c>
      <c r="E2">
        <v>0</v>
      </c>
      <c r="F2">
        <v>0</v>
      </c>
      <c r="G2" s="154">
        <f>'CFF Clean Data'!F98</f>
        <v>0.186</v>
      </c>
      <c r="H2">
        <v>0</v>
      </c>
      <c r="I2" s="154">
        <f>'CFF Clean Data'!D176</f>
        <v>23.822000000000003</v>
      </c>
      <c r="J2">
        <f>(0.95*C2)+(0.05*D2)</f>
        <v>0</v>
      </c>
      <c r="K2" s="154">
        <f>(0.54*E2)+(0.045*F2)+(0.415*G2)</f>
        <v>7.7189999999999995E-2</v>
      </c>
    </row>
    <row r="3" spans="1:11">
      <c r="A3" s="192"/>
      <c r="B3" t="s">
        <v>796</v>
      </c>
      <c r="C3">
        <f>'CFF Clean Data'!C13</f>
        <v>1.331</v>
      </c>
      <c r="D3">
        <f>'CFF Clean Data'!C28</f>
        <v>0.42699999999999999</v>
      </c>
      <c r="E3" s="154">
        <f>'CFF Clean Data'!D68</f>
        <v>0.72699999999999998</v>
      </c>
      <c r="F3" s="154">
        <f>'CFF Clean Data'!D83</f>
        <v>0.40467270881237499</v>
      </c>
      <c r="G3" s="154">
        <f>'CFF Clean Data'!D98</f>
        <v>0.369760652920962</v>
      </c>
      <c r="H3" s="154">
        <f>'CFF Clean Data'!C149</f>
        <v>7.63</v>
      </c>
      <c r="I3" s="154">
        <f>'CFF Clean Data'!C176</f>
        <v>84.6</v>
      </c>
      <c r="J3">
        <f>(0.95*C3)+(0.05*D3)</f>
        <v>1.2857999999999998</v>
      </c>
      <c r="K3" s="154">
        <f>(0.54*E3)+(0.045*F3)+(0.415*G3)</f>
        <v>0.56424094285875614</v>
      </c>
    </row>
    <row r="4" spans="1:11">
      <c r="A4" s="192"/>
      <c r="B4" t="s">
        <v>797</v>
      </c>
      <c r="C4" s="154">
        <f>'CFF Clean Data'!D13</f>
        <v>1.1809999999999999E-2</v>
      </c>
      <c r="D4" s="154">
        <f>'CFF Clean Data'!D28</f>
        <v>5.6899999999999995E-4</v>
      </c>
      <c r="E4" s="154">
        <f>'CFF Clean Data'!E68</f>
        <v>6.4535213032581498E-3</v>
      </c>
      <c r="F4" s="154">
        <f>'CFF Clean Data'!E83</f>
        <v>5.3881952326901195E-4</v>
      </c>
      <c r="G4" s="154">
        <f>'CFF Clean Data'!E98</f>
        <v>7.4501280068728498E-3</v>
      </c>
      <c r="H4" s="154">
        <f>'CFF Clean Data'!D149</f>
        <v>10.199999999999999</v>
      </c>
      <c r="I4" s="154">
        <f>'CFF Clean Data'!F176</f>
        <v>0.81499999999999995</v>
      </c>
      <c r="J4" s="154">
        <f>(0.95*C4)+(0.05*D4)</f>
        <v>1.1247949999999998E-2</v>
      </c>
      <c r="K4" s="154">
        <f>(0.54*E4)+(0.045*F4)+(0.415*G4)</f>
        <v>6.6009515051587394E-3</v>
      </c>
    </row>
    <row r="5" spans="1:11">
      <c r="A5" s="192"/>
      <c r="B5" t="s">
        <v>798</v>
      </c>
      <c r="C5" s="154">
        <f>'CFF Clean Data'!E13</f>
        <v>62.7</v>
      </c>
      <c r="D5" s="154">
        <f>'CFF Clean Data'!E28</f>
        <v>62.7</v>
      </c>
      <c r="E5" s="154">
        <f>'CFF Clean Data'!C68</f>
        <v>37.14</v>
      </c>
      <c r="F5" s="154">
        <f>'CFF Clean Data'!C83</f>
        <v>0.77300000000000002</v>
      </c>
      <c r="G5" s="154">
        <f>'CFF Clean Data'!C98</f>
        <v>3.83</v>
      </c>
      <c r="H5" s="154">
        <f>'CFF Clean Data'!E149</f>
        <v>156</v>
      </c>
      <c r="I5" s="154">
        <f>'CFF Clean Data'!E176</f>
        <v>414</v>
      </c>
      <c r="J5" s="154">
        <f>(0.95*C5)+(0.05*D5)</f>
        <v>62.699999999999996</v>
      </c>
      <c r="K5" s="154">
        <f>(0.54*E5)+(0.045*F5)+(0.415*G5)</f>
        <v>21.679835000000001</v>
      </c>
    </row>
    <row r="6" spans="1:11">
      <c r="A6" s="192"/>
      <c r="B6" t="s">
        <v>799</v>
      </c>
      <c r="C6" s="154">
        <f>'CFF Clean Data'!E13</f>
        <v>62.7</v>
      </c>
      <c r="D6" s="154">
        <f>'CFF Clean Data'!E28</f>
        <v>62.7</v>
      </c>
      <c r="E6" s="154">
        <f>'CFF Clean Data'!C68</f>
        <v>37.14</v>
      </c>
      <c r="F6" s="154">
        <f>'CFF Clean Data'!C83</f>
        <v>0.77300000000000002</v>
      </c>
      <c r="G6" s="154">
        <f>'CFF Clean Data'!C98</f>
        <v>3.83</v>
      </c>
      <c r="H6" s="154">
        <f>'CFF Clean Data'!E149</f>
        <v>156</v>
      </c>
      <c r="I6" s="154">
        <f>'CFF Clean Data'!E176</f>
        <v>414</v>
      </c>
      <c r="J6" s="154">
        <f>(0.95*C6)+(0.05*D6)</f>
        <v>62.699999999999996</v>
      </c>
      <c r="K6" s="154">
        <f>(0.54*E6)+(0.045*F6)+(0.415*G6)</f>
        <v>21.679835000000001</v>
      </c>
    </row>
    <row r="7" spans="1:11">
      <c r="A7" s="192" t="s">
        <v>163</v>
      </c>
      <c r="B7" t="s">
        <v>801</v>
      </c>
      <c r="H7">
        <v>0</v>
      </c>
      <c r="I7" s="154">
        <f>'CFF Clean Data'!D171</f>
        <v>1.4869999999999999E-6</v>
      </c>
    </row>
    <row r="8" spans="1:11">
      <c r="A8" s="192"/>
      <c r="B8" t="s">
        <v>800</v>
      </c>
      <c r="H8" s="154">
        <f>'CFF Clean Data'!C144</f>
        <v>9.2199999999999998E-6</v>
      </c>
      <c r="I8">
        <f>'CFF Clean Data'!C171</f>
        <v>7.2999999999999999E-5</v>
      </c>
    </row>
    <row r="9" spans="1:11">
      <c r="A9" s="192"/>
      <c r="B9" t="s">
        <v>814</v>
      </c>
      <c r="H9" s="154">
        <f>'CFF Clean Data'!D144</f>
        <v>3.8800000000000001E-6</v>
      </c>
      <c r="I9" s="154">
        <f>'CFF Clean Data'!F171</f>
        <v>3.0899999999999997E-7</v>
      </c>
    </row>
    <row r="10" spans="1:11">
      <c r="A10" s="192"/>
      <c r="B10" t="s">
        <v>802</v>
      </c>
      <c r="H10" s="154">
        <f>'CFF Clean Data'!E144</f>
        <v>4.4900000000000002E-4</v>
      </c>
      <c r="I10" s="154">
        <f>'CFF Clean Data'!E171</f>
        <v>5.71E-4</v>
      </c>
    </row>
    <row r="11" spans="1:11">
      <c r="A11" s="192"/>
      <c r="B11" t="s">
        <v>803</v>
      </c>
      <c r="H11" s="154">
        <f>'CFF Clean Data'!E144</f>
        <v>4.4900000000000002E-4</v>
      </c>
      <c r="I11" s="154">
        <f>'CFF Clean Data'!E171</f>
        <v>5.71E-4</v>
      </c>
    </row>
    <row r="12" spans="1:11">
      <c r="A12" s="192" t="s">
        <v>164</v>
      </c>
      <c r="B12" t="s">
        <v>804</v>
      </c>
      <c r="H12">
        <v>0</v>
      </c>
      <c r="I12" s="154">
        <f>'CFF Clean Data'!D172</f>
        <v>34.929999999999993</v>
      </c>
    </row>
    <row r="13" spans="1:11">
      <c r="A13" s="192"/>
      <c r="B13" t="s">
        <v>805</v>
      </c>
      <c r="H13" s="154">
        <f>'CFF Clean Data'!C145</f>
        <v>1030</v>
      </c>
      <c r="I13">
        <f>'CFF Clean Data'!C172</f>
        <v>8470</v>
      </c>
    </row>
    <row r="14" spans="1:11">
      <c r="A14" s="192"/>
      <c r="B14" t="s">
        <v>813</v>
      </c>
      <c r="H14" s="154">
        <f>'CFF Clean Data'!D145</f>
        <v>137</v>
      </c>
      <c r="I14" s="154">
        <f>'CFF Clean Data'!F172</f>
        <v>10.9</v>
      </c>
    </row>
    <row r="15" spans="1:11">
      <c r="A15" s="192"/>
      <c r="B15" t="s">
        <v>806</v>
      </c>
      <c r="H15" s="154">
        <f>'CFF Clean Data'!E145</f>
        <v>1140</v>
      </c>
      <c r="I15" s="154">
        <f>'CFF Clean Data'!E172</f>
        <v>3970</v>
      </c>
    </row>
    <row r="16" spans="1:11">
      <c r="A16" s="192"/>
      <c r="B16" t="s">
        <v>807</v>
      </c>
      <c r="H16" s="154">
        <f>'CFF Clean Data'!E145</f>
        <v>1140</v>
      </c>
      <c r="I16" s="154">
        <f>'CFF Clean Data'!E172</f>
        <v>3970</v>
      </c>
    </row>
    <row r="17" spans="1:9" ht="13.5" customHeight="1">
      <c r="A17" s="192" t="s">
        <v>165</v>
      </c>
      <c r="B17" t="s">
        <v>808</v>
      </c>
      <c r="H17" s="154">
        <v>0</v>
      </c>
      <c r="I17" s="154">
        <f>'CFF Clean Data'!D173</f>
        <v>4.2490000000000002E-3</v>
      </c>
    </row>
    <row r="18" spans="1:9">
      <c r="A18" s="192"/>
      <c r="B18" t="s">
        <v>809</v>
      </c>
      <c r="H18" s="154">
        <f>'CFF Clean Data'!C146</f>
        <v>3.6299999999999999E-2</v>
      </c>
      <c r="I18">
        <f>'CFF Clean Data'!C173</f>
        <v>0.28899999999999998</v>
      </c>
    </row>
    <row r="19" spans="1:9">
      <c r="A19" s="192"/>
      <c r="B19" t="s">
        <v>810</v>
      </c>
      <c r="H19" s="154">
        <f>'CFF Clean Data'!D146</f>
        <v>6.1199999999999997E-2</v>
      </c>
      <c r="I19" s="154">
        <f>'CFF Clean Data'!F173</f>
        <v>4.8700000000000002E-3</v>
      </c>
    </row>
    <row r="20" spans="1:9">
      <c r="A20" s="192"/>
      <c r="B20" t="s">
        <v>811</v>
      </c>
      <c r="H20" s="154">
        <f>'CFF Clean Data'!E146</f>
        <v>0.108</v>
      </c>
      <c r="I20" s="154">
        <f>'CFF Clean Data'!E173</f>
        <v>0.441</v>
      </c>
    </row>
    <row r="21" spans="1:9">
      <c r="A21" s="192"/>
      <c r="B21" t="s">
        <v>812</v>
      </c>
      <c r="H21" s="154">
        <f>'CFF Clean Data'!E146</f>
        <v>0.108</v>
      </c>
      <c r="I21" s="154">
        <f>'CFF Clean Data'!E173</f>
        <v>0.441</v>
      </c>
    </row>
    <row r="22" spans="1:9">
      <c r="A22" s="192" t="s">
        <v>166</v>
      </c>
      <c r="B22" t="s">
        <v>815</v>
      </c>
      <c r="H22">
        <v>0</v>
      </c>
      <c r="I22" s="154">
        <f>'CFF Clean Data'!D174</f>
        <v>2.1770000000000001E-3</v>
      </c>
    </row>
    <row r="23" spans="1:9">
      <c r="A23" s="192"/>
      <c r="B23" t="s">
        <v>816</v>
      </c>
      <c r="H23" s="154">
        <f>'CFF Clean Data'!C147</f>
        <v>6.2300000000000003E-3</v>
      </c>
      <c r="I23" s="154">
        <f>'CFF Clean Data'!C174</f>
        <v>4.9399999999999999E-2</v>
      </c>
    </row>
    <row r="24" spans="1:9">
      <c r="A24" s="192"/>
      <c r="B24" t="s">
        <v>817</v>
      </c>
      <c r="H24" s="154">
        <f>'CFF Clean Data'!D147</f>
        <v>6.8500000000000002E-3</v>
      </c>
      <c r="I24" s="154">
        <f>'CFF Clean Data'!F174</f>
        <v>5.4600000000000004E-4</v>
      </c>
    </row>
    <row r="25" spans="1:9">
      <c r="A25" s="192"/>
      <c r="B25" t="s">
        <v>818</v>
      </c>
      <c r="H25" s="154">
        <f>'CFF Clean Data'!E147</f>
        <v>1.8100000000000002E-2</v>
      </c>
      <c r="I25" s="154">
        <f>'CFF Clean Data'!E174</f>
        <v>8.6300000000000002E-2</v>
      </c>
    </row>
    <row r="26" spans="1:9">
      <c r="A26" s="192"/>
      <c r="B26" t="s">
        <v>819</v>
      </c>
      <c r="H26" s="154">
        <f>'CFF Clean Data'!E147</f>
        <v>1.8100000000000002E-2</v>
      </c>
      <c r="I26" s="154">
        <f>'CFF Clean Data'!E174</f>
        <v>8.6300000000000002E-2</v>
      </c>
    </row>
    <row r="27" spans="1:9">
      <c r="A27" s="192" t="s">
        <v>170</v>
      </c>
      <c r="B27" t="s">
        <v>820</v>
      </c>
      <c r="H27">
        <v>0</v>
      </c>
      <c r="I27" s="154">
        <f>'CFF Clean Data'!D178</f>
        <v>7.7367600000000003</v>
      </c>
    </row>
    <row r="28" spans="1:9">
      <c r="A28" s="192"/>
      <c r="B28" t="s">
        <v>821</v>
      </c>
      <c r="H28" s="154">
        <f>'CFF Clean Data'!C151</f>
        <v>1.32</v>
      </c>
      <c r="I28">
        <f>'CFF Clean Data'!C178</f>
        <v>10.6</v>
      </c>
    </row>
    <row r="29" spans="1:9">
      <c r="A29" s="192"/>
      <c r="B29" t="s">
        <v>822</v>
      </c>
      <c r="H29" s="154">
        <f>'CFF Clean Data'!D151</f>
        <v>0.52600000000000002</v>
      </c>
      <c r="I29" s="154">
        <f>'CFF Clean Data'!F178</f>
        <v>4.19E-2</v>
      </c>
    </row>
    <row r="30" spans="1:9">
      <c r="A30" s="192"/>
      <c r="B30" t="s">
        <v>823</v>
      </c>
      <c r="H30" s="154">
        <f>'CFF Clean Data'!E151</f>
        <v>4.6100000000000003</v>
      </c>
      <c r="I30" s="154">
        <f>'CFF Clean Data'!E178</f>
        <v>12.4</v>
      </c>
    </row>
    <row r="31" spans="1:9">
      <c r="A31" s="192"/>
      <c r="B31" t="s">
        <v>824</v>
      </c>
      <c r="H31" s="154">
        <f>'CFF Clean Data'!E151</f>
        <v>4.6100000000000003</v>
      </c>
      <c r="I31" s="154">
        <f>'CFF Clean Data'!E178</f>
        <v>12.4</v>
      </c>
    </row>
    <row r="32" spans="1:9">
      <c r="A32" s="192" t="s">
        <v>172</v>
      </c>
      <c r="B32" t="s">
        <v>825</v>
      </c>
      <c r="H32">
        <v>0</v>
      </c>
      <c r="I32" s="154">
        <f>'CFF Clean Data'!D180</f>
        <v>7.4988E-11</v>
      </c>
    </row>
    <row r="33" spans="1:9">
      <c r="A33" s="192"/>
      <c r="B33" t="s">
        <v>826</v>
      </c>
      <c r="H33" s="154">
        <f>'CFF Clean Data'!C153</f>
        <v>6.2800000000000005E-11</v>
      </c>
      <c r="I33">
        <f>'CFF Clean Data'!C180</f>
        <v>2.8999999999999998E-10</v>
      </c>
    </row>
    <row r="34" spans="1:9">
      <c r="A34" s="192"/>
      <c r="B34" t="s">
        <v>827</v>
      </c>
      <c r="H34" s="154">
        <f>'CFF Clean Data'!D153</f>
        <v>3.0099999999999998E-11</v>
      </c>
      <c r="I34" s="154">
        <f>'CFF Clean Data'!F180</f>
        <v>2.3900000000000001E-12</v>
      </c>
    </row>
    <row r="35" spans="1:9">
      <c r="A35" s="192"/>
      <c r="B35" t="s">
        <v>828</v>
      </c>
      <c r="H35" s="154">
        <f>'CFF Clean Data'!E153</f>
        <v>5.2700000000000004E-10</v>
      </c>
      <c r="I35" s="154">
        <f>'CFF Clean Data'!E180</f>
        <v>3.2599999999999999E-9</v>
      </c>
    </row>
    <row r="36" spans="1:9">
      <c r="A36" s="192"/>
      <c r="B36" t="s">
        <v>829</v>
      </c>
      <c r="H36" s="154">
        <f>'CFF Clean Data'!E153</f>
        <v>5.2700000000000004E-10</v>
      </c>
      <c r="I36" s="154">
        <f>'CFF Clean Data'!E180</f>
        <v>3.2599999999999999E-9</v>
      </c>
    </row>
    <row r="37" spans="1:9">
      <c r="A37" s="192" t="s">
        <v>173</v>
      </c>
      <c r="B37" t="s">
        <v>830</v>
      </c>
      <c r="H37">
        <v>0</v>
      </c>
      <c r="I37" s="154">
        <f>'CFF Clean Data'!D181</f>
        <v>6.4800000000000003E-4</v>
      </c>
    </row>
    <row r="38" spans="1:9">
      <c r="A38" s="192"/>
      <c r="B38" t="s">
        <v>831</v>
      </c>
      <c r="H38" s="154">
        <f>'CFF Clean Data'!C154</f>
        <v>5.4900000000000001E-3</v>
      </c>
      <c r="I38">
        <f>'CFF Clean Data'!C181</f>
        <v>4.4400000000000002E-2</v>
      </c>
    </row>
    <row r="39" spans="1:9">
      <c r="A39" s="192"/>
      <c r="B39" t="s">
        <v>832</v>
      </c>
      <c r="H39" s="154">
        <f>'CFF Clean Data'!D154</f>
        <v>4.7699999999999999E-3</v>
      </c>
      <c r="I39" s="154">
        <f>'CFF Clean Data'!F181</f>
        <v>3.8000000000000002E-4</v>
      </c>
    </row>
    <row r="40" spans="1:9">
      <c r="A40" s="192"/>
      <c r="B40" t="s">
        <v>833</v>
      </c>
      <c r="H40" s="154">
        <f>'CFF Clean Data'!E154</f>
        <v>9.3100000000000006E-3</v>
      </c>
      <c r="I40" s="154">
        <f>'CFF Clean Data'!E181</f>
        <v>4.2599999999999999E-2</v>
      </c>
    </row>
    <row r="41" spans="1:9">
      <c r="A41" s="192"/>
      <c r="B41" t="s">
        <v>834</v>
      </c>
      <c r="H41" s="154">
        <f>'CFF Clean Data'!E154</f>
        <v>9.3100000000000006E-3</v>
      </c>
      <c r="I41" s="154">
        <f>'CFF Clean Data'!E181</f>
        <v>4.2599999999999999E-2</v>
      </c>
    </row>
  </sheetData>
  <mergeCells count="8">
    <mergeCell ref="A32:A36"/>
    <mergeCell ref="A37:A41"/>
    <mergeCell ref="A2:A6"/>
    <mergeCell ref="A7:A11"/>
    <mergeCell ref="A12:A16"/>
    <mergeCell ref="A17:A21"/>
    <mergeCell ref="A22:A26"/>
    <mergeCell ref="A27:A3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BDAB-D449-4866-B4F7-C008E6F54453}">
  <dimension ref="A1:G43"/>
  <sheetViews>
    <sheetView workbookViewId="0">
      <selection activeCell="L24" sqref="L24"/>
    </sheetView>
  </sheetViews>
  <sheetFormatPr baseColWidth="10" defaultColWidth="9.140625" defaultRowHeight="15"/>
  <cols>
    <col min="1" max="1" width="40.28515625" customWidth="1"/>
    <col min="2" max="2" width="13" bestFit="1" customWidth="1"/>
    <col min="3" max="3" width="13" customWidth="1"/>
    <col min="4" max="4" width="13" bestFit="1" customWidth="1"/>
  </cols>
  <sheetData>
    <row r="1" spans="1:7">
      <c r="A1" t="s">
        <v>745</v>
      </c>
      <c r="B1" t="s">
        <v>744</v>
      </c>
      <c r="C1" t="s">
        <v>732</v>
      </c>
      <c r="D1" t="s">
        <v>728</v>
      </c>
      <c r="E1" t="s">
        <v>729</v>
      </c>
      <c r="F1" t="s">
        <v>730</v>
      </c>
      <c r="G1" t="s">
        <v>731</v>
      </c>
    </row>
    <row r="2" spans="1:7">
      <c r="A2" t="s">
        <v>739</v>
      </c>
      <c r="B2" t="s">
        <v>723</v>
      </c>
      <c r="C2" t="s">
        <v>736</v>
      </c>
      <c r="D2">
        <f>'CFF Clean Data'!C39</f>
        <v>0.2</v>
      </c>
    </row>
    <row r="3" spans="1:7">
      <c r="A3" t="s">
        <v>739</v>
      </c>
      <c r="B3" t="s">
        <v>724</v>
      </c>
      <c r="C3" t="s">
        <v>736</v>
      </c>
      <c r="D3">
        <f>'CFF Clean Data'!C40</f>
        <v>0</v>
      </c>
    </row>
    <row r="4" spans="1:7">
      <c r="A4" t="s">
        <v>739</v>
      </c>
      <c r="B4" t="s">
        <v>725</v>
      </c>
      <c r="C4" t="s">
        <v>734</v>
      </c>
      <c r="D4">
        <v>0.76</v>
      </c>
      <c r="E4">
        <v>0.9</v>
      </c>
      <c r="F4">
        <v>1</v>
      </c>
    </row>
    <row r="5" spans="1:7">
      <c r="A5" t="s">
        <v>739</v>
      </c>
      <c r="B5" t="s">
        <v>733</v>
      </c>
      <c r="C5" t="s">
        <v>736</v>
      </c>
      <c r="D5">
        <v>1</v>
      </c>
    </row>
    <row r="6" spans="1:7">
      <c r="A6" s="157" t="s">
        <v>739</v>
      </c>
      <c r="B6" t="s">
        <v>726</v>
      </c>
      <c r="C6" t="s">
        <v>735</v>
      </c>
      <c r="D6">
        <v>0.9</v>
      </c>
      <c r="E6">
        <v>0.05</v>
      </c>
      <c r="F6">
        <v>0.8</v>
      </c>
      <c r="G6">
        <v>1</v>
      </c>
    </row>
    <row r="7" spans="1:7">
      <c r="A7" s="157" t="s">
        <v>739</v>
      </c>
      <c r="B7" t="s">
        <v>727</v>
      </c>
      <c r="C7" t="s">
        <v>735</v>
      </c>
      <c r="D7">
        <v>0.9</v>
      </c>
      <c r="E7">
        <v>0.05</v>
      </c>
      <c r="F7">
        <v>0.8</v>
      </c>
      <c r="G7">
        <v>1</v>
      </c>
    </row>
    <row r="8" spans="1:7">
      <c r="A8" t="s">
        <v>740</v>
      </c>
      <c r="B8" t="s">
        <v>723</v>
      </c>
      <c r="C8" t="s">
        <v>736</v>
      </c>
      <c r="D8">
        <v>0.2</v>
      </c>
    </row>
    <row r="9" spans="1:7">
      <c r="A9" t="s">
        <v>740</v>
      </c>
      <c r="B9" t="s">
        <v>724</v>
      </c>
      <c r="C9" t="s">
        <v>736</v>
      </c>
      <c r="D9">
        <v>0</v>
      </c>
    </row>
    <row r="10" spans="1:7">
      <c r="A10" s="157" t="s">
        <v>740</v>
      </c>
      <c r="B10" t="s">
        <v>725</v>
      </c>
      <c r="C10" t="s">
        <v>734</v>
      </c>
      <c r="D10">
        <v>0.81</v>
      </c>
      <c r="E10">
        <v>0.88</v>
      </c>
      <c r="F10">
        <v>0.96</v>
      </c>
    </row>
    <row r="11" spans="1:7">
      <c r="A11" t="s">
        <v>740</v>
      </c>
      <c r="B11" t="s">
        <v>733</v>
      </c>
      <c r="C11" t="s">
        <v>736</v>
      </c>
      <c r="D11">
        <v>1</v>
      </c>
    </row>
    <row r="12" spans="1:7">
      <c r="A12" s="157" t="s">
        <v>740</v>
      </c>
      <c r="B12" t="s">
        <v>726</v>
      </c>
      <c r="C12" t="s">
        <v>734</v>
      </c>
      <c r="D12">
        <v>0.9</v>
      </c>
      <c r="E12">
        <v>0.55000000000000004</v>
      </c>
      <c r="F12">
        <v>1</v>
      </c>
    </row>
    <row r="13" spans="1:7">
      <c r="A13" s="157" t="s">
        <v>740</v>
      </c>
      <c r="B13" t="s">
        <v>727</v>
      </c>
      <c r="C13" t="s">
        <v>734</v>
      </c>
      <c r="D13">
        <v>0.9</v>
      </c>
      <c r="E13">
        <v>0.55000000000000004</v>
      </c>
      <c r="F13">
        <v>1</v>
      </c>
    </row>
    <row r="14" spans="1:7">
      <c r="A14" t="s">
        <v>741</v>
      </c>
      <c r="B14" t="s">
        <v>723</v>
      </c>
      <c r="C14" t="s">
        <v>736</v>
      </c>
      <c r="D14">
        <v>0.2</v>
      </c>
    </row>
    <row r="15" spans="1:7">
      <c r="A15" t="s">
        <v>741</v>
      </c>
      <c r="B15" t="s">
        <v>724</v>
      </c>
      <c r="C15" t="s">
        <v>736</v>
      </c>
      <c r="D15">
        <v>0</v>
      </c>
    </row>
    <row r="16" spans="1:7">
      <c r="A16" t="s">
        <v>741</v>
      </c>
      <c r="B16" t="s">
        <v>725</v>
      </c>
      <c r="C16" t="s">
        <v>734</v>
      </c>
      <c r="D16">
        <v>0.76</v>
      </c>
      <c r="E16">
        <v>0.9</v>
      </c>
      <c r="F16">
        <v>1</v>
      </c>
    </row>
    <row r="17" spans="1:7">
      <c r="A17" t="s">
        <v>741</v>
      </c>
      <c r="B17" t="s">
        <v>733</v>
      </c>
      <c r="C17" t="s">
        <v>736</v>
      </c>
    </row>
    <row r="18" spans="1:7">
      <c r="A18" t="s">
        <v>741</v>
      </c>
      <c r="B18" t="s">
        <v>726</v>
      </c>
      <c r="C18" t="s">
        <v>735</v>
      </c>
      <c r="D18">
        <v>0.997</v>
      </c>
      <c r="E18">
        <v>2E-3</v>
      </c>
      <c r="F18">
        <v>0.995</v>
      </c>
      <c r="G18">
        <v>1</v>
      </c>
    </row>
    <row r="19" spans="1:7">
      <c r="A19" t="s">
        <v>741</v>
      </c>
      <c r="B19" t="s">
        <v>727</v>
      </c>
      <c r="C19" t="s">
        <v>735</v>
      </c>
      <c r="D19">
        <v>0.9</v>
      </c>
      <c r="E19">
        <v>0.1</v>
      </c>
      <c r="F19">
        <v>0.52</v>
      </c>
      <c r="G19">
        <v>1</v>
      </c>
    </row>
    <row r="20" spans="1:7">
      <c r="A20" t="s">
        <v>742</v>
      </c>
      <c r="B20" t="s">
        <v>723</v>
      </c>
      <c r="C20" t="s">
        <v>736</v>
      </c>
      <c r="D20">
        <v>0.2</v>
      </c>
    </row>
    <row r="21" spans="1:7">
      <c r="A21" t="s">
        <v>742</v>
      </c>
      <c r="B21" t="s">
        <v>724</v>
      </c>
      <c r="C21" t="s">
        <v>736</v>
      </c>
      <c r="D21">
        <v>0</v>
      </c>
    </row>
    <row r="22" spans="1:7">
      <c r="A22" t="s">
        <v>742</v>
      </c>
      <c r="B22" t="s">
        <v>725</v>
      </c>
      <c r="C22" t="s">
        <v>734</v>
      </c>
      <c r="D22">
        <v>0.81</v>
      </c>
      <c r="E22">
        <v>0.85</v>
      </c>
      <c r="F22">
        <v>0.9</v>
      </c>
    </row>
    <row r="23" spans="1:7">
      <c r="A23" t="s">
        <v>742</v>
      </c>
      <c r="B23" t="s">
        <v>733</v>
      </c>
      <c r="C23" t="s">
        <v>736</v>
      </c>
      <c r="D23">
        <v>1</v>
      </c>
    </row>
    <row r="24" spans="1:7">
      <c r="A24" t="s">
        <v>742</v>
      </c>
      <c r="B24" t="s">
        <v>726</v>
      </c>
      <c r="C24" t="s">
        <v>736</v>
      </c>
      <c r="D24">
        <v>1</v>
      </c>
    </row>
    <row r="25" spans="1:7">
      <c r="A25" t="s">
        <v>742</v>
      </c>
      <c r="B25" t="s">
        <v>727</v>
      </c>
      <c r="C25" t="s">
        <v>736</v>
      </c>
      <c r="D25">
        <v>1</v>
      </c>
    </row>
    <row r="26" spans="1:7">
      <c r="A26" t="s">
        <v>743</v>
      </c>
      <c r="B26" t="s">
        <v>723</v>
      </c>
      <c r="C26" t="s">
        <v>735</v>
      </c>
      <c r="D26">
        <v>0.65</v>
      </c>
      <c r="E26">
        <v>0.1</v>
      </c>
      <c r="F26">
        <v>0.5</v>
      </c>
      <c r="G26">
        <v>0.8</v>
      </c>
    </row>
    <row r="27" spans="1:7">
      <c r="A27" t="s">
        <v>743</v>
      </c>
      <c r="B27" t="s">
        <v>724</v>
      </c>
      <c r="C27" t="s">
        <v>736</v>
      </c>
    </row>
    <row r="28" spans="1:7">
      <c r="A28" t="s">
        <v>743</v>
      </c>
      <c r="B28" t="s">
        <v>725</v>
      </c>
      <c r="C28" t="s">
        <v>734</v>
      </c>
      <c r="D28">
        <v>0</v>
      </c>
      <c r="E28">
        <v>0.1</v>
      </c>
      <c r="F28">
        <v>0.13</v>
      </c>
    </row>
    <row r="29" spans="1:7">
      <c r="A29" t="s">
        <v>743</v>
      </c>
      <c r="B29" t="s">
        <v>733</v>
      </c>
      <c r="C29" t="s">
        <v>736</v>
      </c>
    </row>
    <row r="30" spans="1:7">
      <c r="A30" s="157" t="s">
        <v>743</v>
      </c>
      <c r="B30" t="s">
        <v>726</v>
      </c>
      <c r="C30" t="s">
        <v>735</v>
      </c>
      <c r="D30">
        <v>0.7</v>
      </c>
      <c r="E30">
        <v>0.2</v>
      </c>
      <c r="F30">
        <v>0.36</v>
      </c>
      <c r="G30">
        <v>0.9</v>
      </c>
    </row>
    <row r="31" spans="1:7">
      <c r="A31" t="s">
        <v>743</v>
      </c>
      <c r="B31" t="s">
        <v>727</v>
      </c>
      <c r="C31" t="s">
        <v>735</v>
      </c>
      <c r="D31">
        <v>0.6</v>
      </c>
      <c r="E31">
        <v>0.2</v>
      </c>
      <c r="F31">
        <v>0.28999999999999998</v>
      </c>
      <c r="G31">
        <v>0.8</v>
      </c>
    </row>
    <row r="32" spans="1:7">
      <c r="A32" t="s">
        <v>737</v>
      </c>
      <c r="B32" t="s">
        <v>723</v>
      </c>
      <c r="C32" t="s">
        <v>735</v>
      </c>
      <c r="D32">
        <v>0.5</v>
      </c>
      <c r="E32">
        <v>0.05</v>
      </c>
      <c r="F32">
        <v>0.45</v>
      </c>
      <c r="G32">
        <v>0.55000000000000004</v>
      </c>
    </row>
    <row r="33" spans="1:7">
      <c r="A33" t="s">
        <v>737</v>
      </c>
      <c r="B33" t="s">
        <v>724</v>
      </c>
      <c r="C33" t="s">
        <v>736</v>
      </c>
      <c r="D33">
        <v>0</v>
      </c>
    </row>
    <row r="34" spans="1:7">
      <c r="A34" s="157" t="s">
        <v>737</v>
      </c>
      <c r="B34" t="s">
        <v>725</v>
      </c>
      <c r="C34" t="s">
        <v>734</v>
      </c>
      <c r="D34">
        <v>0</v>
      </c>
      <c r="E34" s="106">
        <v>0.7</v>
      </c>
      <c r="F34" s="106">
        <v>0.7</v>
      </c>
    </row>
    <row r="35" spans="1:7">
      <c r="A35" t="s">
        <v>737</v>
      </c>
      <c r="B35" t="s">
        <v>733</v>
      </c>
      <c r="C35" t="s">
        <v>736</v>
      </c>
      <c r="D35">
        <v>1</v>
      </c>
    </row>
    <row r="36" spans="1:7">
      <c r="A36" t="s">
        <v>737</v>
      </c>
      <c r="B36" t="s">
        <v>726</v>
      </c>
      <c r="C36" t="s">
        <v>735</v>
      </c>
      <c r="D36">
        <v>0.52</v>
      </c>
      <c r="E36">
        <v>0.05</v>
      </c>
      <c r="F36">
        <v>0.47</v>
      </c>
      <c r="G36">
        <v>0.59</v>
      </c>
    </row>
    <row r="37" spans="1:7">
      <c r="A37" t="s">
        <v>737</v>
      </c>
      <c r="B37" t="s">
        <v>727</v>
      </c>
      <c r="C37" t="s">
        <v>735</v>
      </c>
      <c r="D37">
        <v>0.85</v>
      </c>
      <c r="E37">
        <v>0.15</v>
      </c>
      <c r="F37">
        <v>0.5</v>
      </c>
      <c r="G37">
        <v>1</v>
      </c>
    </row>
    <row r="38" spans="1:7">
      <c r="A38" t="s">
        <v>738</v>
      </c>
      <c r="B38" t="s">
        <v>723</v>
      </c>
      <c r="C38" t="s">
        <v>735</v>
      </c>
      <c r="D38">
        <v>0.6</v>
      </c>
      <c r="E38">
        <v>0.1</v>
      </c>
      <c r="F38">
        <v>0.5</v>
      </c>
      <c r="G38">
        <v>0.7</v>
      </c>
    </row>
    <row r="39" spans="1:7">
      <c r="A39" t="s">
        <v>738</v>
      </c>
      <c r="B39" t="s">
        <v>724</v>
      </c>
      <c r="C39" t="s">
        <v>735</v>
      </c>
      <c r="D39">
        <v>0.6</v>
      </c>
      <c r="E39">
        <v>0.2</v>
      </c>
      <c r="F39">
        <v>0</v>
      </c>
      <c r="G39">
        <v>1</v>
      </c>
    </row>
    <row r="40" spans="1:7">
      <c r="A40" t="s">
        <v>738</v>
      </c>
      <c r="B40" t="s">
        <v>725</v>
      </c>
      <c r="C40" t="s">
        <v>734</v>
      </c>
      <c r="D40">
        <v>0</v>
      </c>
      <c r="E40" s="106">
        <v>0.4</v>
      </c>
      <c r="F40" s="106">
        <v>0.8</v>
      </c>
    </row>
    <row r="41" spans="1:7">
      <c r="A41" t="s">
        <v>738</v>
      </c>
      <c r="B41" t="s">
        <v>733</v>
      </c>
      <c r="C41" t="s">
        <v>736</v>
      </c>
      <c r="D41">
        <v>1</v>
      </c>
    </row>
    <row r="42" spans="1:7">
      <c r="A42" s="157" t="s">
        <v>738</v>
      </c>
      <c r="B42" t="s">
        <v>726</v>
      </c>
      <c r="C42" t="s">
        <v>735</v>
      </c>
      <c r="D42">
        <v>0.45</v>
      </c>
      <c r="E42">
        <v>0.1</v>
      </c>
      <c r="F42">
        <v>0.3</v>
      </c>
      <c r="G42">
        <v>0.56000000000000005</v>
      </c>
    </row>
    <row r="43" spans="1:7">
      <c r="A43" s="157" t="s">
        <v>738</v>
      </c>
      <c r="B43" t="s">
        <v>727</v>
      </c>
      <c r="C43" t="s">
        <v>735</v>
      </c>
      <c r="D43">
        <v>0.75</v>
      </c>
      <c r="E43">
        <v>0.2</v>
      </c>
      <c r="F43">
        <v>0.5</v>
      </c>
      <c r="G43">
        <v>1</v>
      </c>
    </row>
  </sheetData>
  <autoFilter ref="A1:G43" xr:uid="{2958BDAB-D449-4866-B4F7-C008E6F544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0106F-D974-4357-A130-9C7CA4052FF0}">
  <dimension ref="B2:M66"/>
  <sheetViews>
    <sheetView topLeftCell="A28" zoomScale="112" workbookViewId="0">
      <selection activeCell="I41" sqref="I41"/>
    </sheetView>
  </sheetViews>
  <sheetFormatPr baseColWidth="10" defaultColWidth="10.85546875" defaultRowHeight="15"/>
  <cols>
    <col min="2" max="2" width="15.85546875" customWidth="1"/>
    <col min="3" max="3" width="26" customWidth="1"/>
    <col min="5" max="5" width="34.28515625" customWidth="1"/>
    <col min="7" max="7" width="28.42578125" customWidth="1"/>
    <col min="9" max="9" width="22" customWidth="1"/>
    <col min="11" max="11" width="13.85546875" customWidth="1"/>
  </cols>
  <sheetData>
    <row r="2" spans="2:7" ht="21">
      <c r="B2" s="11" t="s">
        <v>24</v>
      </c>
    </row>
    <row r="3" spans="2:7" ht="15.75" thickBot="1"/>
    <row r="4" spans="2:7" ht="33" customHeight="1" thickBot="1">
      <c r="B4" s="15" t="s">
        <v>40</v>
      </c>
      <c r="C4" s="198" t="s">
        <v>41</v>
      </c>
      <c r="D4" s="199"/>
      <c r="E4" s="199"/>
      <c r="F4" s="199"/>
      <c r="G4" s="200"/>
    </row>
    <row r="5" spans="2:7" ht="15.75" thickBot="1"/>
    <row r="6" spans="2:7">
      <c r="B6" s="201" t="s">
        <v>25</v>
      </c>
      <c r="C6" s="202"/>
      <c r="D6" s="202"/>
      <c r="E6" s="202"/>
      <c r="F6" s="202"/>
      <c r="G6" s="203"/>
    </row>
    <row r="7" spans="2:7">
      <c r="B7" s="204" t="s">
        <v>42</v>
      </c>
      <c r="C7" s="205"/>
      <c r="D7" s="205"/>
      <c r="E7" s="205"/>
      <c r="F7" s="205"/>
      <c r="G7" s="206"/>
    </row>
    <row r="8" spans="2:7" ht="30.75" customHeight="1">
      <c r="B8" s="12" t="s">
        <v>26</v>
      </c>
      <c r="C8" s="193" t="s">
        <v>27</v>
      </c>
      <c r="D8" s="193"/>
      <c r="E8" s="193"/>
      <c r="F8" s="193"/>
      <c r="G8" s="194"/>
    </row>
    <row r="9" spans="2:7" ht="36" customHeight="1">
      <c r="B9" s="12" t="s">
        <v>28</v>
      </c>
      <c r="C9" s="193" t="s">
        <v>29</v>
      </c>
      <c r="D9" s="193"/>
      <c r="E9" s="193"/>
      <c r="F9" s="193"/>
      <c r="G9" s="194"/>
    </row>
    <row r="10" spans="2:7" ht="34.5" customHeight="1">
      <c r="B10" s="12" t="s">
        <v>30</v>
      </c>
      <c r="C10" s="193" t="s">
        <v>31</v>
      </c>
      <c r="D10" s="193"/>
      <c r="E10" s="193"/>
      <c r="F10" s="193"/>
      <c r="G10" s="194"/>
    </row>
    <row r="11" spans="2:7">
      <c r="B11" s="195" t="s">
        <v>32</v>
      </c>
      <c r="C11" s="196"/>
      <c r="D11" s="196"/>
      <c r="E11" s="196"/>
      <c r="F11" s="196"/>
      <c r="G11" s="197"/>
    </row>
    <row r="12" spans="2:7">
      <c r="B12" s="210" t="s">
        <v>33</v>
      </c>
      <c r="C12" s="211"/>
      <c r="D12" s="211" t="s">
        <v>34</v>
      </c>
      <c r="E12" s="211"/>
      <c r="F12" s="211" t="s">
        <v>35</v>
      </c>
      <c r="G12" s="212"/>
    </row>
    <row r="13" spans="2:7">
      <c r="B13" s="13" t="s">
        <v>36</v>
      </c>
      <c r="C13" s="16" t="s">
        <v>37</v>
      </c>
      <c r="D13" s="213"/>
      <c r="E13" s="214"/>
      <c r="F13" s="213"/>
      <c r="G13" s="215"/>
    </row>
    <row r="14" spans="2:7">
      <c r="B14" s="204"/>
      <c r="C14" s="217"/>
      <c r="D14" s="14" t="s">
        <v>36</v>
      </c>
      <c r="E14" s="17" t="s">
        <v>38</v>
      </c>
      <c r="F14" s="216"/>
      <c r="G14" s="206"/>
    </row>
    <row r="15" spans="2:7" ht="27.75" customHeight="1" thickBot="1">
      <c r="B15" s="218"/>
      <c r="C15" s="219"/>
      <c r="D15" s="220"/>
      <c r="E15" s="219"/>
      <c r="F15" s="221" t="s">
        <v>39</v>
      </c>
      <c r="G15" s="222"/>
    </row>
    <row r="19" spans="2:7" ht="15.75" thickBot="1"/>
    <row r="20" spans="2:7" ht="37.5" customHeight="1" thickBot="1">
      <c r="B20" s="15" t="s">
        <v>43</v>
      </c>
      <c r="C20" s="198" t="s">
        <v>44</v>
      </c>
      <c r="D20" s="199"/>
      <c r="E20" s="199"/>
      <c r="F20" s="199"/>
      <c r="G20" s="200"/>
    </row>
    <row r="21" spans="2:7" ht="15.75" thickBot="1"/>
    <row r="22" spans="2:7">
      <c r="B22" s="207" t="s">
        <v>32</v>
      </c>
      <c r="C22" s="208"/>
      <c r="D22" s="208"/>
      <c r="E22" s="208"/>
      <c r="F22" s="208"/>
      <c r="G22" s="209"/>
    </row>
    <row r="23" spans="2:7">
      <c r="B23" s="210" t="s">
        <v>33</v>
      </c>
      <c r="C23" s="211"/>
      <c r="D23" s="211" t="s">
        <v>34</v>
      </c>
      <c r="E23" s="211"/>
      <c r="F23" s="211" t="s">
        <v>35</v>
      </c>
      <c r="G23" s="212"/>
    </row>
    <row r="24" spans="2:7" ht="39" customHeight="1">
      <c r="B24" s="223" t="s">
        <v>46</v>
      </c>
      <c r="C24" s="224"/>
      <c r="D24" s="213"/>
      <c r="E24" s="214"/>
      <c r="F24" s="213"/>
      <c r="G24" s="215"/>
    </row>
    <row r="25" spans="2:7">
      <c r="B25" s="204"/>
      <c r="C25" s="217"/>
      <c r="D25" s="14" t="s">
        <v>36</v>
      </c>
      <c r="E25" s="22" t="s">
        <v>186</v>
      </c>
      <c r="F25" s="216"/>
      <c r="G25" s="206"/>
    </row>
    <row r="26" spans="2:7">
      <c r="B26" s="225"/>
      <c r="C26" s="226"/>
      <c r="D26" s="227"/>
      <c r="E26" s="226"/>
      <c r="F26" s="228" t="s">
        <v>47</v>
      </c>
      <c r="G26" s="229"/>
    </row>
    <row r="27" spans="2:7">
      <c r="B27" s="230" t="s">
        <v>45</v>
      </c>
      <c r="C27" s="231"/>
      <c r="D27" s="231"/>
      <c r="E27" s="231"/>
      <c r="F27" s="231"/>
      <c r="G27" s="232"/>
    </row>
    <row r="28" spans="2:7" ht="15.75" thickBot="1">
      <c r="B28" s="233"/>
      <c r="C28" s="234"/>
      <c r="D28" s="234"/>
      <c r="E28" s="234"/>
      <c r="F28" s="234"/>
      <c r="G28" s="235"/>
    </row>
    <row r="33" spans="2:11" ht="15.75" thickBot="1"/>
    <row r="34" spans="2:11" ht="58.5" customHeight="1" thickBot="1">
      <c r="B34" s="15" t="s">
        <v>48</v>
      </c>
      <c r="C34" s="198" t="s">
        <v>49</v>
      </c>
      <c r="D34" s="199"/>
      <c r="E34" s="199"/>
      <c r="F34" s="199"/>
      <c r="G34" s="200"/>
    </row>
    <row r="35" spans="2:11" ht="15.75" thickBot="1"/>
    <row r="36" spans="2:11">
      <c r="B36" s="207" t="s">
        <v>32</v>
      </c>
      <c r="C36" s="208"/>
      <c r="D36" s="208"/>
      <c r="E36" s="208"/>
      <c r="F36" s="208"/>
      <c r="G36" s="208"/>
      <c r="H36" s="208"/>
      <c r="I36" s="208"/>
      <c r="J36" s="208"/>
      <c r="K36" s="209"/>
    </row>
    <row r="37" spans="2:11">
      <c r="B37" s="210" t="s">
        <v>33</v>
      </c>
      <c r="C37" s="211"/>
      <c r="D37" s="211" t="s">
        <v>34</v>
      </c>
      <c r="E37" s="211"/>
      <c r="F37" s="211" t="s">
        <v>35</v>
      </c>
      <c r="G37" s="211"/>
      <c r="H37" s="211" t="s">
        <v>50</v>
      </c>
      <c r="I37" s="211"/>
      <c r="J37" s="211" t="s">
        <v>51</v>
      </c>
      <c r="K37" s="212"/>
    </row>
    <row r="38" spans="2:11" ht="15" customHeight="1">
      <c r="B38" s="236" t="s">
        <v>52</v>
      </c>
      <c r="C38" s="237"/>
      <c r="D38" s="213"/>
      <c r="E38" s="214"/>
      <c r="F38" s="213"/>
      <c r="G38" s="214"/>
      <c r="H38" s="213"/>
      <c r="I38" s="214"/>
      <c r="J38" s="213"/>
      <c r="K38" s="215"/>
    </row>
    <row r="39" spans="2:11" ht="30">
      <c r="B39" s="204"/>
      <c r="C39" s="217"/>
      <c r="D39" s="14" t="s">
        <v>36</v>
      </c>
      <c r="E39" s="17" t="s">
        <v>53</v>
      </c>
      <c r="F39" s="216"/>
      <c r="G39" s="217"/>
      <c r="H39" s="216"/>
      <c r="I39" s="217"/>
      <c r="J39" s="216"/>
      <c r="K39" s="206"/>
    </row>
    <row r="40" spans="2:11" ht="30">
      <c r="B40" s="204"/>
      <c r="C40" s="217"/>
      <c r="D40" s="216"/>
      <c r="E40" s="217"/>
      <c r="F40" s="14" t="s">
        <v>36</v>
      </c>
      <c r="G40" s="17" t="s">
        <v>54</v>
      </c>
      <c r="H40" s="216"/>
      <c r="I40" s="217"/>
      <c r="J40" s="216"/>
      <c r="K40" s="206"/>
    </row>
    <row r="41" spans="2:11" ht="45">
      <c r="B41" s="204"/>
      <c r="C41" s="217"/>
      <c r="D41" s="216"/>
      <c r="E41" s="217"/>
      <c r="F41" s="216"/>
      <c r="G41" s="217"/>
      <c r="H41" s="14" t="s">
        <v>36</v>
      </c>
      <c r="I41" s="17" t="s">
        <v>55</v>
      </c>
      <c r="J41" s="216"/>
      <c r="K41" s="206"/>
    </row>
    <row r="42" spans="2:11">
      <c r="B42" s="204"/>
      <c r="C42" s="217"/>
      <c r="D42" s="216"/>
      <c r="E42" s="217"/>
      <c r="F42" s="216"/>
      <c r="G42" s="217"/>
      <c r="H42" s="216"/>
      <c r="I42" s="217"/>
      <c r="J42" s="238" t="s">
        <v>56</v>
      </c>
      <c r="K42" s="239"/>
    </row>
    <row r="43" spans="2:11">
      <c r="B43" s="204"/>
      <c r="C43" s="217"/>
      <c r="D43" s="216"/>
      <c r="E43" s="217"/>
      <c r="F43" s="216"/>
      <c r="G43" s="217"/>
      <c r="H43" s="216"/>
      <c r="I43" s="217"/>
      <c r="J43" s="238"/>
      <c r="K43" s="239"/>
    </row>
    <row r="44" spans="2:11">
      <c r="B44" s="204"/>
      <c r="C44" s="217"/>
      <c r="D44" s="216"/>
      <c r="E44" s="217"/>
      <c r="F44" s="216"/>
      <c r="G44" s="217"/>
      <c r="H44" s="216"/>
      <c r="I44" s="217"/>
      <c r="J44" s="238"/>
      <c r="K44" s="239"/>
    </row>
    <row r="45" spans="2:11">
      <c r="B45" s="204"/>
      <c r="C45" s="217"/>
      <c r="D45" s="216"/>
      <c r="E45" s="217"/>
      <c r="F45" s="216"/>
      <c r="G45" s="217"/>
      <c r="H45" s="216"/>
      <c r="I45" s="217"/>
      <c r="J45" s="238"/>
      <c r="K45" s="239"/>
    </row>
    <row r="46" spans="2:11" ht="15.75" thickBot="1">
      <c r="B46" s="218"/>
      <c r="C46" s="219"/>
      <c r="D46" s="220"/>
      <c r="E46" s="219"/>
      <c r="F46" s="220"/>
      <c r="G46" s="219"/>
      <c r="H46" s="220"/>
      <c r="I46" s="219"/>
      <c r="J46" s="240"/>
      <c r="K46" s="222"/>
    </row>
    <row r="51" spans="2:13" ht="15.75" thickBot="1"/>
    <row r="52" spans="2:13" ht="96.75" customHeight="1" thickBot="1">
      <c r="B52" s="15" t="s">
        <v>57</v>
      </c>
      <c r="C52" s="198" t="s">
        <v>58</v>
      </c>
      <c r="D52" s="199"/>
      <c r="E52" s="199"/>
      <c r="F52" s="199"/>
      <c r="G52" s="199"/>
      <c r="H52" s="199"/>
      <c r="I52" s="199"/>
      <c r="J52" s="199"/>
      <c r="K52" s="200"/>
    </row>
    <row r="53" spans="2:13" ht="15.75" thickBot="1"/>
    <row r="54" spans="2:13">
      <c r="B54" s="241" t="s">
        <v>32</v>
      </c>
      <c r="C54" s="242"/>
      <c r="D54" s="242"/>
      <c r="E54" s="242"/>
      <c r="F54" s="242"/>
      <c r="G54" s="242"/>
      <c r="H54" s="242"/>
      <c r="I54" s="243"/>
    </row>
    <row r="55" spans="2:13">
      <c r="B55" s="210" t="s">
        <v>33</v>
      </c>
      <c r="C55" s="211"/>
      <c r="D55" s="211" t="s">
        <v>34</v>
      </c>
      <c r="E55" s="244"/>
      <c r="F55" s="211" t="s">
        <v>35</v>
      </c>
      <c r="G55" s="211"/>
      <c r="H55" s="244" t="s">
        <v>50</v>
      </c>
      <c r="I55" s="245"/>
    </row>
    <row r="56" spans="2:13" ht="55.5" customHeight="1">
      <c r="B56" s="247" t="s">
        <v>59</v>
      </c>
      <c r="C56" s="248"/>
      <c r="D56" s="213"/>
      <c r="E56" s="214"/>
      <c r="F56" s="213"/>
      <c r="G56" s="214"/>
      <c r="H56" s="213"/>
      <c r="I56" s="215"/>
    </row>
    <row r="57" spans="2:13" ht="38.25" customHeight="1">
      <c r="B57" s="223" t="s">
        <v>60</v>
      </c>
      <c r="C57" s="224"/>
      <c r="D57" s="216"/>
      <c r="E57" s="217"/>
      <c r="F57" s="216"/>
      <c r="G57" s="217"/>
      <c r="H57" s="216"/>
      <c r="I57" s="206"/>
    </row>
    <row r="58" spans="2:13" ht="22.5" customHeight="1">
      <c r="B58" s="204"/>
      <c r="C58" s="217"/>
      <c r="D58" s="238" t="s">
        <v>63</v>
      </c>
      <c r="E58" s="246"/>
      <c r="F58" s="216"/>
      <c r="G58" s="217"/>
      <c r="H58" s="216"/>
      <c r="I58" s="206"/>
    </row>
    <row r="59" spans="2:13" ht="99.75" customHeight="1">
      <c r="B59" s="204"/>
      <c r="C59" s="217"/>
      <c r="D59" s="216"/>
      <c r="E59" s="217"/>
      <c r="F59" s="238" t="s">
        <v>61</v>
      </c>
      <c r="G59" s="246"/>
      <c r="H59" s="216"/>
      <c r="I59" s="206"/>
      <c r="M59" s="23"/>
    </row>
    <row r="60" spans="2:13">
      <c r="B60" s="204"/>
      <c r="C60" s="217"/>
      <c r="D60" s="216"/>
      <c r="E60" s="217"/>
      <c r="F60" s="216"/>
      <c r="G60" s="217"/>
      <c r="H60" s="224" t="s">
        <v>62</v>
      </c>
      <c r="I60" s="239"/>
    </row>
    <row r="61" spans="2:13">
      <c r="B61" s="204"/>
      <c r="C61" s="217"/>
      <c r="D61" s="216"/>
      <c r="E61" s="217"/>
      <c r="F61" s="216"/>
      <c r="G61" s="217"/>
      <c r="H61" s="224"/>
      <c r="I61" s="239"/>
    </row>
    <row r="62" spans="2:13">
      <c r="B62" s="204"/>
      <c r="C62" s="217"/>
      <c r="D62" s="216"/>
      <c r="E62" s="217"/>
      <c r="F62" s="216"/>
      <c r="G62" s="217"/>
      <c r="H62" s="224"/>
      <c r="I62" s="239"/>
    </row>
    <row r="63" spans="2:13" ht="15.75" thickBot="1">
      <c r="B63" s="218"/>
      <c r="C63" s="219"/>
      <c r="D63" s="220"/>
      <c r="E63" s="219"/>
      <c r="F63" s="220"/>
      <c r="G63" s="219"/>
      <c r="H63" s="221"/>
      <c r="I63" s="222"/>
    </row>
    <row r="66" spans="2:3">
      <c r="B66" t="s">
        <v>22</v>
      </c>
      <c r="C66" s="9" t="s">
        <v>23</v>
      </c>
    </row>
  </sheetData>
  <mergeCells count="61">
    <mergeCell ref="D58:E58"/>
    <mergeCell ref="B56:C56"/>
    <mergeCell ref="D56:E57"/>
    <mergeCell ref="F56:G58"/>
    <mergeCell ref="H56:I59"/>
    <mergeCell ref="B57:C57"/>
    <mergeCell ref="B58:C63"/>
    <mergeCell ref="D59:E63"/>
    <mergeCell ref="F59:G59"/>
    <mergeCell ref="F60:G63"/>
    <mergeCell ref="H60:I63"/>
    <mergeCell ref="C52:K52"/>
    <mergeCell ref="B54:I54"/>
    <mergeCell ref="B55:C55"/>
    <mergeCell ref="D55:E55"/>
    <mergeCell ref="F55:G55"/>
    <mergeCell ref="H55:I55"/>
    <mergeCell ref="H38:I40"/>
    <mergeCell ref="J38:K41"/>
    <mergeCell ref="B39:C46"/>
    <mergeCell ref="D40:E46"/>
    <mergeCell ref="F41:G46"/>
    <mergeCell ref="H42:I46"/>
    <mergeCell ref="B38:C38"/>
    <mergeCell ref="D38:E38"/>
    <mergeCell ref="F38:G39"/>
    <mergeCell ref="J42:K46"/>
    <mergeCell ref="B27:G28"/>
    <mergeCell ref="C34:G34"/>
    <mergeCell ref="B37:C37"/>
    <mergeCell ref="D37:E37"/>
    <mergeCell ref="F37:G37"/>
    <mergeCell ref="B36:K36"/>
    <mergeCell ref="H37:I37"/>
    <mergeCell ref="J37:K37"/>
    <mergeCell ref="B24:C24"/>
    <mergeCell ref="D24:E24"/>
    <mergeCell ref="F24:G25"/>
    <mergeCell ref="B25:C26"/>
    <mergeCell ref="D26:E26"/>
    <mergeCell ref="F26:G26"/>
    <mergeCell ref="B12:C12"/>
    <mergeCell ref="D12:E12"/>
    <mergeCell ref="F12:G12"/>
    <mergeCell ref="D13:E13"/>
    <mergeCell ref="F13:G14"/>
    <mergeCell ref="B14:C15"/>
    <mergeCell ref="D15:E15"/>
    <mergeCell ref="F15:G15"/>
    <mergeCell ref="C20:G20"/>
    <mergeCell ref="B22:G22"/>
    <mergeCell ref="B23:C23"/>
    <mergeCell ref="D23:E23"/>
    <mergeCell ref="F23:G23"/>
    <mergeCell ref="C8:G8"/>
    <mergeCell ref="C9:G9"/>
    <mergeCell ref="C10:G10"/>
    <mergeCell ref="B11:G11"/>
    <mergeCell ref="C4:G4"/>
    <mergeCell ref="B6:G6"/>
    <mergeCell ref="B7:G7"/>
  </mergeCells>
  <hyperlinks>
    <hyperlink ref="C66" r:id="rId1" xr:uid="{EA97AE77-DCF0-491D-81AF-63BECD5EB231}"/>
  </hyperlinks>
  <pageMargins left="0.7" right="0.7" top="0.78740157499999996" bottom="0.78740157499999996"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5B1F2-A65A-4BFB-B63A-780942F289F5}">
  <dimension ref="B2:N445"/>
  <sheetViews>
    <sheetView topLeftCell="A304" zoomScale="62" zoomScaleNormal="40" workbookViewId="0">
      <selection activeCell="G437" sqref="G437"/>
    </sheetView>
  </sheetViews>
  <sheetFormatPr baseColWidth="10" defaultColWidth="10.85546875" defaultRowHeight="15"/>
  <cols>
    <col min="2" max="2" width="96.42578125" customWidth="1"/>
    <col min="3" max="3" width="50.7109375" customWidth="1"/>
    <col min="4" max="4" width="68" customWidth="1"/>
    <col min="5" max="5" width="52" customWidth="1"/>
    <col min="6" max="6" width="61.140625" customWidth="1"/>
    <col min="7" max="7" width="111.140625" customWidth="1"/>
    <col min="8" max="8" width="47.42578125" customWidth="1"/>
    <col min="9" max="9" width="22.140625" customWidth="1"/>
    <col min="10" max="10" width="45.28515625" customWidth="1"/>
  </cols>
  <sheetData>
    <row r="2" spans="2:2" ht="21">
      <c r="B2" s="11" t="s">
        <v>64</v>
      </c>
    </row>
    <row r="22" spans="2:5" ht="15.75" thickBot="1"/>
    <row r="23" spans="2:5" ht="30" customHeight="1" thickBot="1">
      <c r="B23" s="284" t="s">
        <v>558</v>
      </c>
      <c r="C23" s="285"/>
      <c r="D23" s="286" t="s">
        <v>65</v>
      </c>
      <c r="E23" s="287"/>
    </row>
    <row r="24" spans="2:5" ht="16.5" thickTop="1" thickBot="1">
      <c r="B24" s="26" t="s">
        <v>66</v>
      </c>
      <c r="C24" s="27" t="s">
        <v>244</v>
      </c>
      <c r="D24" s="28" t="s">
        <v>66</v>
      </c>
      <c r="E24" s="28" t="s">
        <v>244</v>
      </c>
    </row>
    <row r="25" spans="2:5" ht="15.75" thickBot="1">
      <c r="B25" s="29" t="s">
        <v>68</v>
      </c>
      <c r="C25" s="30">
        <v>3.3780000000000001</v>
      </c>
      <c r="D25" s="31" t="s">
        <v>68</v>
      </c>
      <c r="E25" s="31">
        <v>0.83299999999999996</v>
      </c>
    </row>
    <row r="26" spans="2:5" ht="15.75" thickBot="1">
      <c r="B26" s="26" t="s">
        <v>70</v>
      </c>
      <c r="C26" s="27">
        <v>1.772</v>
      </c>
      <c r="D26" s="28" t="s">
        <v>70</v>
      </c>
      <c r="E26" s="28">
        <v>1.982</v>
      </c>
    </row>
    <row r="27" spans="2:5" ht="15.75" thickBot="1">
      <c r="B27" s="288" t="s">
        <v>72</v>
      </c>
      <c r="C27" s="291">
        <v>0.248</v>
      </c>
      <c r="D27" s="31" t="s">
        <v>72</v>
      </c>
      <c r="E27" s="31">
        <v>0.23499999999999999</v>
      </c>
    </row>
    <row r="28" spans="2:5" ht="15.75" thickBot="1">
      <c r="B28" s="289"/>
      <c r="C28" s="292"/>
      <c r="D28" s="28" t="s">
        <v>74</v>
      </c>
      <c r="E28" s="28">
        <v>0.22900000000000001</v>
      </c>
    </row>
    <row r="29" spans="2:5" ht="15.75" thickBot="1">
      <c r="B29" s="289"/>
      <c r="C29" s="292"/>
      <c r="D29" s="31" t="s">
        <v>75</v>
      </c>
      <c r="E29" s="31">
        <v>0.98099999999999998</v>
      </c>
    </row>
    <row r="30" spans="2:5" ht="15.75" thickBot="1">
      <c r="B30" s="290"/>
      <c r="C30" s="293"/>
      <c r="D30" s="28" t="s">
        <v>76</v>
      </c>
      <c r="E30" s="28">
        <v>0.95099999999999996</v>
      </c>
    </row>
    <row r="31" spans="2:5">
      <c r="C31" s="48">
        <f>C25+C26+C27</f>
        <v>5.3980000000000006</v>
      </c>
      <c r="E31">
        <f>E25+E26+E27+E28+E29+E30</f>
        <v>5.2109999999999994</v>
      </c>
    </row>
    <row r="32" spans="2:5">
      <c r="C32">
        <f>C27/C31</f>
        <v>4.5942941830307518E-2</v>
      </c>
      <c r="E32">
        <f>(E25+E26)/E31</f>
        <v>0.54020341585108433</v>
      </c>
    </row>
    <row r="33" spans="2:13">
      <c r="C33">
        <f>(C25+C26)/C31</f>
        <v>0.95405705816969244</v>
      </c>
      <c r="E33">
        <f>E27/E31</f>
        <v>4.5096910381884479E-2</v>
      </c>
    </row>
    <row r="34" spans="2:13" ht="15.75" thickBot="1">
      <c r="E34">
        <f>(E28+E29+E30)/E31</f>
        <v>0.41469967376703132</v>
      </c>
    </row>
    <row r="35" spans="2:13">
      <c r="B35" s="274" t="s">
        <v>185</v>
      </c>
      <c r="C35" s="275"/>
      <c r="D35" s="275"/>
      <c r="E35" s="275"/>
      <c r="F35" s="275"/>
      <c r="G35" s="275"/>
      <c r="H35" s="275"/>
      <c r="I35" s="275"/>
      <c r="J35" s="275"/>
      <c r="K35" s="275"/>
      <c r="L35" s="275"/>
      <c r="M35" s="276"/>
    </row>
    <row r="36" spans="2:13">
      <c r="B36" t="s">
        <v>526</v>
      </c>
    </row>
    <row r="37" spans="2:13" ht="15.75" thickBot="1"/>
    <row r="38" spans="2:13" ht="18.75" thickBot="1">
      <c r="B38" s="33" t="s">
        <v>77</v>
      </c>
      <c r="C38" s="32" t="s">
        <v>78</v>
      </c>
    </row>
    <row r="40" spans="2:13">
      <c r="B40" s="38" t="s">
        <v>79</v>
      </c>
      <c r="C40" s="294" t="s">
        <v>80</v>
      </c>
      <c r="D40" s="294"/>
      <c r="E40" s="294"/>
      <c r="F40" s="294"/>
      <c r="G40" s="294"/>
      <c r="H40" s="294"/>
      <c r="I40" s="294"/>
      <c r="J40" s="294"/>
      <c r="K40" s="294"/>
      <c r="L40" s="294"/>
      <c r="M40" s="294"/>
    </row>
    <row r="41" spans="2:13" ht="18">
      <c r="B41" s="34" t="s">
        <v>82</v>
      </c>
      <c r="C41" s="256" t="str">
        <f xml:space="preserve"> 'Case Study 2'!B164</f>
        <v>LCI:  Erec = 0 (as only primary materialsl and no secondary material is used for the conventional concrete product)</v>
      </c>
      <c r="D41" s="256"/>
      <c r="E41" s="256"/>
      <c r="F41" s="256"/>
      <c r="G41" s="256"/>
      <c r="H41" s="256"/>
      <c r="I41" s="256"/>
      <c r="J41" s="256"/>
      <c r="K41" s="256"/>
      <c r="L41" s="256"/>
      <c r="M41" s="256"/>
    </row>
    <row r="42" spans="2:13" ht="264" customHeight="1">
      <c r="B42" s="35" t="s">
        <v>83</v>
      </c>
      <c r="C42" s="255" t="s">
        <v>84</v>
      </c>
      <c r="D42" s="255"/>
      <c r="E42" s="255"/>
      <c r="F42" s="255"/>
      <c r="G42" s="255"/>
      <c r="H42" s="255"/>
      <c r="I42" s="255"/>
      <c r="J42" s="255"/>
      <c r="K42" s="255"/>
      <c r="L42" s="255"/>
      <c r="M42" s="255"/>
    </row>
    <row r="43" spans="2:13" ht="83.25" customHeight="1">
      <c r="B43" s="37" t="s">
        <v>85</v>
      </c>
      <c r="C43" s="255" t="s">
        <v>86</v>
      </c>
      <c r="D43" s="295"/>
      <c r="E43" s="295"/>
      <c r="F43" s="295"/>
      <c r="G43" s="295"/>
      <c r="H43" s="295"/>
      <c r="I43" s="295"/>
      <c r="J43" s="295"/>
      <c r="K43" s="295"/>
      <c r="L43" s="295"/>
      <c r="M43" s="295"/>
    </row>
    <row r="45" spans="2:13">
      <c r="B45" s="38" t="s">
        <v>91</v>
      </c>
    </row>
    <row r="47" spans="2:13">
      <c r="B47" s="259" t="s">
        <v>96</v>
      </c>
      <c r="C47" s="260"/>
      <c r="D47" s="41" t="s">
        <v>97</v>
      </c>
      <c r="E47" s="261" t="s">
        <v>87</v>
      </c>
      <c r="F47" s="261"/>
      <c r="G47" s="49"/>
      <c r="H47" s="49"/>
    </row>
    <row r="48" spans="2:13" ht="53.25" customHeight="1">
      <c r="B48" s="244"/>
      <c r="C48" s="254"/>
      <c r="D48" s="34">
        <v>0.10125000000000001</v>
      </c>
      <c r="E48" s="255" t="s">
        <v>88</v>
      </c>
      <c r="F48" s="255"/>
      <c r="G48" s="24"/>
      <c r="H48" s="24"/>
    </row>
    <row r="49" spans="2:8" ht="54" customHeight="1">
      <c r="B49" s="244"/>
      <c r="C49" s="254"/>
      <c r="D49" s="34">
        <v>0.15079000000000001</v>
      </c>
      <c r="E49" s="255" t="s">
        <v>89</v>
      </c>
      <c r="F49" s="256"/>
      <c r="G49" s="48"/>
      <c r="H49" s="48"/>
    </row>
    <row r="50" spans="2:8">
      <c r="B50" s="257" t="s">
        <v>90</v>
      </c>
      <c r="C50" s="258"/>
      <c r="D50" s="39">
        <v>0.126</v>
      </c>
      <c r="E50" s="211"/>
      <c r="F50" s="211"/>
      <c r="G50" s="25"/>
      <c r="H50" s="25"/>
    </row>
    <row r="52" spans="2:8">
      <c r="B52" s="259" t="s">
        <v>92</v>
      </c>
      <c r="C52" s="260"/>
      <c r="D52" s="40" t="s">
        <v>93</v>
      </c>
      <c r="E52" s="261" t="s">
        <v>87</v>
      </c>
      <c r="F52" s="261"/>
      <c r="G52" s="49"/>
      <c r="H52" s="49"/>
    </row>
    <row r="53" spans="2:8" ht="54.75" customHeight="1">
      <c r="B53" s="244"/>
      <c r="C53" s="254"/>
      <c r="D53" s="34">
        <v>1.44</v>
      </c>
      <c r="E53" s="255" t="s">
        <v>94</v>
      </c>
      <c r="F53" s="255"/>
      <c r="G53" s="24"/>
      <c r="H53" s="24"/>
    </row>
    <row r="54" spans="2:8" ht="49.5" customHeight="1">
      <c r="B54" s="244"/>
      <c r="C54" s="254"/>
      <c r="D54" s="34">
        <v>2.88</v>
      </c>
      <c r="E54" s="255" t="s">
        <v>95</v>
      </c>
      <c r="F54" s="256"/>
      <c r="G54" s="48"/>
      <c r="H54" s="48"/>
    </row>
    <row r="55" spans="2:8">
      <c r="B55" s="257" t="s">
        <v>90</v>
      </c>
      <c r="C55" s="258"/>
      <c r="D55" s="39">
        <v>2.16</v>
      </c>
      <c r="E55" s="211"/>
      <c r="F55" s="211"/>
      <c r="G55" s="25"/>
      <c r="H55" s="25"/>
    </row>
    <row r="57" spans="2:8">
      <c r="B57" s="259" t="s">
        <v>98</v>
      </c>
      <c r="C57" s="260"/>
      <c r="D57" s="40" t="s">
        <v>99</v>
      </c>
      <c r="E57" s="261" t="s">
        <v>87</v>
      </c>
      <c r="F57" s="261"/>
      <c r="G57" s="49"/>
      <c r="H57" s="49"/>
    </row>
    <row r="58" spans="2:8" ht="50.25" customHeight="1">
      <c r="B58" s="244"/>
      <c r="C58" s="254"/>
      <c r="D58" s="34">
        <v>11.7</v>
      </c>
      <c r="E58" s="255" t="s">
        <v>100</v>
      </c>
      <c r="F58" s="255"/>
      <c r="G58" s="24"/>
      <c r="H58" s="24"/>
    </row>
    <row r="59" spans="2:8" ht="50.25" customHeight="1">
      <c r="B59" s="244"/>
      <c r="C59" s="254"/>
      <c r="D59" s="34">
        <v>19.7</v>
      </c>
      <c r="E59" s="255" t="s">
        <v>100</v>
      </c>
      <c r="F59" s="256"/>
      <c r="G59" s="48"/>
      <c r="H59" s="48"/>
    </row>
    <row r="60" spans="2:8">
      <c r="B60" s="257" t="s">
        <v>90</v>
      </c>
      <c r="C60" s="258"/>
      <c r="D60" s="39">
        <v>15.7</v>
      </c>
      <c r="E60" s="211"/>
      <c r="F60" s="211"/>
      <c r="G60" s="25"/>
      <c r="H60" s="25"/>
    </row>
    <row r="63" spans="2:8">
      <c r="B63" s="251" t="s">
        <v>101</v>
      </c>
      <c r="C63" s="251"/>
      <c r="D63" s="251"/>
      <c r="E63" s="251"/>
    </row>
    <row r="64" spans="2:8">
      <c r="B64" s="42" t="s">
        <v>66</v>
      </c>
      <c r="C64" s="42" t="s">
        <v>67</v>
      </c>
      <c r="D64" s="42" t="s">
        <v>87</v>
      </c>
      <c r="E64" s="42" t="s">
        <v>102</v>
      </c>
    </row>
    <row r="65" spans="2:5" ht="30">
      <c r="B65" s="59" t="s">
        <v>103</v>
      </c>
      <c r="C65" s="55" t="s">
        <v>217</v>
      </c>
      <c r="D65" s="59" t="s">
        <v>107</v>
      </c>
      <c r="E65" s="55" t="s">
        <v>104</v>
      </c>
    </row>
    <row r="66" spans="2:5" ht="30">
      <c r="B66" s="59" t="s">
        <v>105</v>
      </c>
      <c r="C66" s="55" t="s">
        <v>218</v>
      </c>
      <c r="D66" s="59" t="s">
        <v>108</v>
      </c>
      <c r="E66" s="59" t="s">
        <v>106</v>
      </c>
    </row>
    <row r="67" spans="2:5">
      <c r="B67" s="59" t="s">
        <v>112</v>
      </c>
      <c r="C67" s="55" t="s">
        <v>219</v>
      </c>
      <c r="D67" s="59" t="s">
        <v>109</v>
      </c>
      <c r="E67" s="55" t="s">
        <v>110</v>
      </c>
    </row>
    <row r="68" spans="2:5" ht="48.75" customHeight="1">
      <c r="B68" s="60" t="s">
        <v>111</v>
      </c>
      <c r="C68" s="60" t="s">
        <v>220</v>
      </c>
      <c r="D68" s="59" t="s">
        <v>122</v>
      </c>
      <c r="E68" s="59" t="s">
        <v>113</v>
      </c>
    </row>
    <row r="69" spans="2:5">
      <c r="B69" s="55" t="s">
        <v>114</v>
      </c>
      <c r="C69" s="55" t="s">
        <v>221</v>
      </c>
      <c r="D69" s="55" t="s">
        <v>115</v>
      </c>
      <c r="E69" s="55" t="s">
        <v>116</v>
      </c>
    </row>
    <row r="70" spans="2:5" ht="30">
      <c r="B70" s="59" t="s">
        <v>117</v>
      </c>
      <c r="C70" s="55" t="s">
        <v>222</v>
      </c>
      <c r="D70" s="59" t="s">
        <v>118</v>
      </c>
      <c r="E70" s="59" t="s">
        <v>104</v>
      </c>
    </row>
    <row r="71" spans="2:5" ht="30">
      <c r="B71" s="59" t="s">
        <v>119</v>
      </c>
      <c r="C71" s="55" t="s">
        <v>223</v>
      </c>
      <c r="D71" s="59" t="s">
        <v>120</v>
      </c>
      <c r="E71" s="59" t="s">
        <v>106</v>
      </c>
    </row>
    <row r="72" spans="2:5">
      <c r="B72" s="59" t="s">
        <v>121</v>
      </c>
      <c r="C72" s="55" t="s">
        <v>224</v>
      </c>
      <c r="D72" s="59" t="s">
        <v>214</v>
      </c>
      <c r="E72" s="55" t="s">
        <v>110</v>
      </c>
    </row>
    <row r="73" spans="2:5" ht="45">
      <c r="B73" s="55" t="s">
        <v>111</v>
      </c>
      <c r="C73" s="55" t="s">
        <v>225</v>
      </c>
      <c r="D73" s="59" t="s">
        <v>122</v>
      </c>
      <c r="E73" s="59" t="s">
        <v>113</v>
      </c>
    </row>
    <row r="74" spans="2:5">
      <c r="B74" s="58" t="s">
        <v>114</v>
      </c>
      <c r="C74" s="58" t="s">
        <v>226</v>
      </c>
      <c r="D74" s="58" t="s">
        <v>115</v>
      </c>
      <c r="E74" s="55" t="s">
        <v>116</v>
      </c>
    </row>
    <row r="75" spans="2:5">
      <c r="B75" s="250" t="s">
        <v>123</v>
      </c>
      <c r="C75" s="250"/>
      <c r="D75" s="250"/>
      <c r="E75" s="250"/>
    </row>
    <row r="76" spans="2:5">
      <c r="B76" s="58" t="s">
        <v>124</v>
      </c>
      <c r="C76" s="55" t="s">
        <v>217</v>
      </c>
      <c r="D76" s="58" t="s">
        <v>125</v>
      </c>
      <c r="E76" s="58"/>
    </row>
    <row r="77" spans="2:5">
      <c r="B77" s="58" t="s">
        <v>126</v>
      </c>
      <c r="C77" s="55" t="s">
        <v>218</v>
      </c>
      <c r="D77" s="58" t="s">
        <v>125</v>
      </c>
      <c r="E77" s="58"/>
    </row>
    <row r="78" spans="2:5">
      <c r="B78" s="58" t="s">
        <v>127</v>
      </c>
      <c r="C78" s="55" t="s">
        <v>222</v>
      </c>
      <c r="D78" s="58" t="s">
        <v>125</v>
      </c>
      <c r="E78" s="58"/>
    </row>
    <row r="79" spans="2:5">
      <c r="B79" s="58" t="s">
        <v>128</v>
      </c>
      <c r="C79" s="55" t="s">
        <v>227</v>
      </c>
      <c r="D79" s="58" t="s">
        <v>125</v>
      </c>
      <c r="E79" s="58"/>
    </row>
    <row r="81" spans="2:5">
      <c r="B81" s="251" t="s">
        <v>101</v>
      </c>
      <c r="C81" s="251"/>
      <c r="D81" s="251"/>
      <c r="E81" s="251"/>
    </row>
    <row r="82" spans="2:5">
      <c r="B82" s="42" t="s">
        <v>66</v>
      </c>
      <c r="C82" s="42" t="s">
        <v>67</v>
      </c>
      <c r="D82" s="42" t="s">
        <v>87</v>
      </c>
      <c r="E82" s="42" t="s">
        <v>102</v>
      </c>
    </row>
    <row r="83" spans="2:5" ht="30">
      <c r="B83" s="59" t="s">
        <v>129</v>
      </c>
      <c r="C83" s="55" t="s">
        <v>228</v>
      </c>
      <c r="D83" s="59" t="s">
        <v>133</v>
      </c>
      <c r="E83" s="59" t="s">
        <v>104</v>
      </c>
    </row>
    <row r="84" spans="2:5" ht="30">
      <c r="B84" s="59" t="s">
        <v>130</v>
      </c>
      <c r="C84" s="55" t="s">
        <v>229</v>
      </c>
      <c r="D84" s="59" t="s">
        <v>132</v>
      </c>
      <c r="E84" s="59" t="s">
        <v>106</v>
      </c>
    </row>
    <row r="85" spans="2:5">
      <c r="B85" s="59" t="s">
        <v>131</v>
      </c>
      <c r="C85" s="55" t="s">
        <v>230</v>
      </c>
      <c r="D85" s="59" t="s">
        <v>236</v>
      </c>
      <c r="E85" s="55" t="s">
        <v>110</v>
      </c>
    </row>
    <row r="86" spans="2:5" ht="75">
      <c r="B86" s="55" t="s">
        <v>134</v>
      </c>
      <c r="C86" s="55" t="s">
        <v>231</v>
      </c>
      <c r="D86" s="59" t="s">
        <v>135</v>
      </c>
      <c r="E86" s="59" t="s">
        <v>136</v>
      </c>
    </row>
    <row r="87" spans="2:5" ht="75">
      <c r="B87" s="55" t="s">
        <v>140</v>
      </c>
      <c r="C87" s="55" t="s">
        <v>232</v>
      </c>
      <c r="D87" s="59" t="s">
        <v>141</v>
      </c>
      <c r="E87" s="59" t="s">
        <v>142</v>
      </c>
    </row>
    <row r="88" spans="2:5" ht="75">
      <c r="B88" s="55" t="s">
        <v>143</v>
      </c>
      <c r="C88" s="55" t="s">
        <v>233</v>
      </c>
      <c r="D88" s="59" t="s">
        <v>144</v>
      </c>
      <c r="E88" s="59" t="s">
        <v>145</v>
      </c>
    </row>
    <row r="89" spans="2:5" ht="75">
      <c r="B89" s="55" t="s">
        <v>114</v>
      </c>
      <c r="C89" s="55" t="s">
        <v>234</v>
      </c>
      <c r="D89" s="59" t="s">
        <v>146</v>
      </c>
      <c r="E89" s="59" t="s">
        <v>116</v>
      </c>
    </row>
    <row r="90" spans="2:5">
      <c r="B90" s="58" t="s">
        <v>137</v>
      </c>
      <c r="C90" s="58" t="s">
        <v>235</v>
      </c>
      <c r="D90" s="58" t="s">
        <v>138</v>
      </c>
      <c r="E90" s="55" t="s">
        <v>139</v>
      </c>
    </row>
    <row r="91" spans="2:5">
      <c r="B91" s="250" t="s">
        <v>123</v>
      </c>
      <c r="C91" s="250"/>
      <c r="D91" s="250"/>
      <c r="E91" s="250"/>
    </row>
    <row r="92" spans="2:5">
      <c r="B92" s="58" t="s">
        <v>147</v>
      </c>
      <c r="C92" s="55" t="s">
        <v>228</v>
      </c>
      <c r="D92" s="58" t="s">
        <v>125</v>
      </c>
      <c r="E92" s="58"/>
    </row>
    <row r="93" spans="2:5">
      <c r="B93" s="58" t="s">
        <v>148</v>
      </c>
      <c r="C93" s="55" t="s">
        <v>229</v>
      </c>
      <c r="D93" s="58" t="s">
        <v>125</v>
      </c>
      <c r="E93" s="58"/>
    </row>
    <row r="96" spans="2:5">
      <c r="B96" s="38" t="s">
        <v>161</v>
      </c>
    </row>
    <row r="98" spans="2:5">
      <c r="B98" s="251" t="s">
        <v>101</v>
      </c>
      <c r="C98" s="251"/>
      <c r="D98" s="251"/>
      <c r="E98" s="251"/>
    </row>
    <row r="99" spans="2:5">
      <c r="B99" s="42" t="s">
        <v>66</v>
      </c>
      <c r="C99" s="42" t="s">
        <v>67</v>
      </c>
      <c r="D99" s="42" t="s">
        <v>87</v>
      </c>
      <c r="E99" s="42" t="s">
        <v>102</v>
      </c>
    </row>
    <row r="100" spans="2:5">
      <c r="B100" s="36" t="s">
        <v>152</v>
      </c>
      <c r="C100" s="34" t="s">
        <v>149</v>
      </c>
      <c r="D100" s="36" t="s">
        <v>154</v>
      </c>
      <c r="E100" s="36" t="s">
        <v>150</v>
      </c>
    </row>
    <row r="101" spans="2:5">
      <c r="B101" s="36" t="s">
        <v>153</v>
      </c>
      <c r="C101" s="34" t="s">
        <v>151</v>
      </c>
      <c r="D101" s="36" t="s">
        <v>154</v>
      </c>
      <c r="E101" s="34" t="s">
        <v>150</v>
      </c>
    </row>
    <row r="102" spans="2:5">
      <c r="B102" s="273" t="s">
        <v>123</v>
      </c>
      <c r="C102" s="273"/>
      <c r="D102" s="273"/>
      <c r="E102" s="273"/>
    </row>
    <row r="103" spans="2:5">
      <c r="B103" s="1" t="s">
        <v>156</v>
      </c>
      <c r="C103" s="43" t="s">
        <v>69</v>
      </c>
      <c r="D103" s="1"/>
      <c r="E103" s="1"/>
    </row>
    <row r="104" spans="2:5">
      <c r="B104" s="1" t="s">
        <v>155</v>
      </c>
      <c r="C104" s="43" t="s">
        <v>71</v>
      </c>
      <c r="D104" s="1"/>
      <c r="E104" s="1"/>
    </row>
    <row r="106" spans="2:5">
      <c r="B106" s="251" t="s">
        <v>101</v>
      </c>
      <c r="C106" s="251"/>
      <c r="D106" s="251"/>
      <c r="E106" s="251"/>
    </row>
    <row r="107" spans="2:5">
      <c r="B107" s="42" t="s">
        <v>66</v>
      </c>
      <c r="C107" s="42" t="s">
        <v>67</v>
      </c>
      <c r="D107" s="42" t="s">
        <v>87</v>
      </c>
      <c r="E107" s="42" t="s">
        <v>102</v>
      </c>
    </row>
    <row r="108" spans="2:5">
      <c r="B108" s="36" t="s">
        <v>157</v>
      </c>
      <c r="C108" s="34" t="s">
        <v>160</v>
      </c>
      <c r="D108" s="36" t="s">
        <v>154</v>
      </c>
      <c r="E108" s="34" t="s">
        <v>159</v>
      </c>
    </row>
    <row r="109" spans="2:5">
      <c r="B109" s="273" t="s">
        <v>123</v>
      </c>
      <c r="C109" s="273"/>
      <c r="D109" s="273"/>
      <c r="E109" s="273"/>
    </row>
    <row r="110" spans="2:5">
      <c r="B110" s="1" t="s">
        <v>158</v>
      </c>
      <c r="C110" s="43" t="s">
        <v>73</v>
      </c>
      <c r="D110" s="1"/>
      <c r="E110" s="1"/>
    </row>
    <row r="113" spans="2:5">
      <c r="B113" s="38" t="s">
        <v>176</v>
      </c>
    </row>
    <row r="115" spans="2:5">
      <c r="B115" s="249" t="s">
        <v>216</v>
      </c>
      <c r="C115" s="251"/>
      <c r="D115" s="251"/>
      <c r="E115" s="251"/>
    </row>
    <row r="116" spans="2:5">
      <c r="B116" s="1" t="s">
        <v>162</v>
      </c>
      <c r="C116" s="58" t="s">
        <v>81</v>
      </c>
      <c r="D116" s="58" t="s">
        <v>175</v>
      </c>
      <c r="E116" s="1" t="s">
        <v>177</v>
      </c>
    </row>
    <row r="117" spans="2:5">
      <c r="B117" s="1" t="s">
        <v>163</v>
      </c>
      <c r="C117" s="56">
        <v>4.6599999999999994E-6</v>
      </c>
      <c r="D117" s="57">
        <v>2.2580000000000003E-9</v>
      </c>
      <c r="E117" s="44">
        <v>1.7729999999999998E-5</v>
      </c>
    </row>
    <row r="118" spans="2:5">
      <c r="B118" s="1" t="s">
        <v>164</v>
      </c>
      <c r="C118" s="56">
        <v>13.58</v>
      </c>
      <c r="D118" s="57">
        <v>0.1709</v>
      </c>
      <c r="E118" s="44">
        <v>684</v>
      </c>
    </row>
    <row r="119" spans="2:5">
      <c r="B119" s="1" t="s">
        <v>165</v>
      </c>
      <c r="C119" s="56">
        <v>2.0109999999999998E-3</v>
      </c>
      <c r="D119" s="57">
        <v>3.1900000000000003E-5</v>
      </c>
      <c r="E119" s="44">
        <v>0.1956</v>
      </c>
    </row>
    <row r="120" spans="2:5">
      <c r="B120" s="1" t="s">
        <v>166</v>
      </c>
      <c r="C120" s="56">
        <v>4.1200000000000004E-4</v>
      </c>
      <c r="D120" s="57">
        <v>3.4300000000000002E-6</v>
      </c>
      <c r="E120" s="44">
        <v>1.489E-2</v>
      </c>
    </row>
    <row r="121" spans="2:5">
      <c r="B121" s="1" t="s">
        <v>167</v>
      </c>
      <c r="C121" s="56">
        <v>3.0600000000000002E-3</v>
      </c>
      <c r="D121" s="57">
        <v>2.8380000000000003E-5</v>
      </c>
      <c r="E121" s="44">
        <v>0.313</v>
      </c>
    </row>
    <row r="122" spans="2:5">
      <c r="B122" s="1" t="s">
        <v>168</v>
      </c>
      <c r="C122" s="56">
        <v>1.331</v>
      </c>
      <c r="D122" s="57">
        <v>1.1810000000000001E-2</v>
      </c>
      <c r="E122" s="44">
        <v>62.7</v>
      </c>
    </row>
    <row r="123" spans="2:5">
      <c r="B123" s="1" t="s">
        <v>169</v>
      </c>
      <c r="C123" s="56">
        <v>1.329</v>
      </c>
      <c r="D123" s="57">
        <v>1.197E-2</v>
      </c>
      <c r="E123" s="44">
        <v>62.8</v>
      </c>
    </row>
    <row r="124" spans="2:5">
      <c r="B124" s="1" t="s">
        <v>170</v>
      </c>
      <c r="C124" s="56">
        <v>5.3400000000000003E-2</v>
      </c>
      <c r="D124" s="57">
        <v>3.4400000000000001E-4</v>
      </c>
      <c r="E124" s="44">
        <v>84.3</v>
      </c>
    </row>
    <row r="125" spans="2:5">
      <c r="B125" s="1" t="s">
        <v>171</v>
      </c>
      <c r="C125" s="56">
        <v>157.19999999999999</v>
      </c>
      <c r="D125" s="57">
        <v>1.0899999999999999</v>
      </c>
      <c r="E125" s="44">
        <v>105900</v>
      </c>
    </row>
    <row r="126" spans="2:5">
      <c r="B126" s="1" t="s">
        <v>172</v>
      </c>
      <c r="C126" s="56">
        <v>5.1799999999999998E-11</v>
      </c>
      <c r="D126" s="57">
        <v>1.923E-14</v>
      </c>
      <c r="E126" s="44">
        <v>1.018E-10</v>
      </c>
    </row>
    <row r="127" spans="2:5">
      <c r="B127" s="1" t="s">
        <v>173</v>
      </c>
      <c r="C127" s="56">
        <v>1.3739999999999998E-4</v>
      </c>
      <c r="D127" s="57">
        <v>2.9400000000000002E-6</v>
      </c>
      <c r="E127" s="44">
        <v>1.1679999999999999E-2</v>
      </c>
    </row>
    <row r="128" spans="2:5">
      <c r="B128" s="1" t="s">
        <v>174</v>
      </c>
      <c r="C128" s="56">
        <v>2.2539999999999999E-3</v>
      </c>
      <c r="D128" s="57">
        <v>1.314E-4</v>
      </c>
      <c r="E128" s="44">
        <v>0.1172</v>
      </c>
    </row>
    <row r="130" spans="2:5">
      <c r="B130" s="249" t="s">
        <v>215</v>
      </c>
      <c r="C130" s="251"/>
      <c r="D130" s="251"/>
      <c r="E130" s="251"/>
    </row>
    <row r="131" spans="2:5">
      <c r="B131" s="1" t="s">
        <v>162</v>
      </c>
      <c r="C131" s="58" t="s">
        <v>81</v>
      </c>
      <c r="D131" s="58" t="s">
        <v>175</v>
      </c>
      <c r="E131" s="1" t="s">
        <v>177</v>
      </c>
    </row>
    <row r="132" spans="2:5">
      <c r="B132" s="1" t="s">
        <v>163</v>
      </c>
      <c r="C132" s="56">
        <v>3.2300000000000002E-7</v>
      </c>
      <c r="D132" s="57">
        <v>1.09E-10</v>
      </c>
      <c r="E132" s="44">
        <v>1.7729999999999998E-5</v>
      </c>
    </row>
    <row r="133" spans="2:5">
      <c r="B133" s="1" t="s">
        <v>164</v>
      </c>
      <c r="C133" s="56">
        <v>4.24</v>
      </c>
      <c r="D133" s="57">
        <v>8.2400000000000008E-3</v>
      </c>
      <c r="E133" s="44">
        <v>684</v>
      </c>
    </row>
    <row r="134" spans="2:5">
      <c r="B134" s="1" t="s">
        <v>165</v>
      </c>
      <c r="C134" s="56">
        <v>6.11E-4</v>
      </c>
      <c r="D134" s="57">
        <v>1.5400000000000001E-6</v>
      </c>
      <c r="E134" s="44">
        <v>0.1956</v>
      </c>
    </row>
    <row r="135" spans="2:5">
      <c r="B135" s="1" t="s">
        <v>166</v>
      </c>
      <c r="C135" s="56">
        <v>1.17E-4</v>
      </c>
      <c r="D135" s="57">
        <v>1.6500000000000001E-7</v>
      </c>
      <c r="E135" s="44">
        <v>1.489E-2</v>
      </c>
    </row>
    <row r="136" spans="2:5">
      <c r="B136" s="1" t="s">
        <v>167</v>
      </c>
      <c r="C136" s="56">
        <v>8.1400000000000005E-4</v>
      </c>
      <c r="D136" s="57">
        <v>1.37E-6</v>
      </c>
      <c r="E136" s="44">
        <v>0.313</v>
      </c>
    </row>
    <row r="137" spans="2:5">
      <c r="B137" s="1" t="s">
        <v>168</v>
      </c>
      <c r="C137" s="56">
        <v>0.42699999999999999</v>
      </c>
      <c r="D137" s="57">
        <v>5.6899999999999995E-4</v>
      </c>
      <c r="E137" s="44">
        <v>62.7</v>
      </c>
    </row>
    <row r="138" spans="2:5">
      <c r="B138" s="1" t="s">
        <v>169</v>
      </c>
      <c r="C138" s="56">
        <v>0.42699999999999999</v>
      </c>
      <c r="D138" s="57">
        <v>5.7600000000000001E-4</v>
      </c>
      <c r="E138" s="44">
        <v>62.8</v>
      </c>
    </row>
    <row r="139" spans="2:5">
      <c r="B139" s="1" t="s">
        <v>170</v>
      </c>
      <c r="C139" s="56">
        <v>1.67E-2</v>
      </c>
      <c r="D139" s="57">
        <v>1.66E-5</v>
      </c>
      <c r="E139" s="44">
        <v>84.3</v>
      </c>
    </row>
    <row r="140" spans="2:5">
      <c r="B140" s="1" t="s">
        <v>171</v>
      </c>
      <c r="C140" s="56">
        <v>50.2</v>
      </c>
      <c r="D140" s="57">
        <v>5.2499999999999998E-2</v>
      </c>
      <c r="E140" s="44">
        <v>105900</v>
      </c>
    </row>
    <row r="141" spans="2:5">
      <c r="B141" s="1" t="s">
        <v>172</v>
      </c>
      <c r="C141" s="56">
        <v>1.6999999999999999E-11</v>
      </c>
      <c r="D141" s="57">
        <v>9.2700000000000007E-16</v>
      </c>
      <c r="E141" s="44">
        <v>1.018E-10</v>
      </c>
    </row>
    <row r="142" spans="2:5">
      <c r="B142" s="1" t="s">
        <v>173</v>
      </c>
      <c r="C142" s="56">
        <v>4.0800000000000002E-5</v>
      </c>
      <c r="D142" s="57">
        <v>1.42E-7</v>
      </c>
      <c r="E142" s="44">
        <v>1.1679999999999999E-2</v>
      </c>
    </row>
    <row r="143" spans="2:5">
      <c r="B143" s="1" t="s">
        <v>174</v>
      </c>
      <c r="C143" s="56">
        <v>6.02E-4</v>
      </c>
      <c r="D143" s="57">
        <v>6.3300000000000004E-6</v>
      </c>
      <c r="E143" s="44">
        <v>0.1172</v>
      </c>
    </row>
    <row r="145" spans="2:14" ht="15.75" thickBot="1"/>
    <row r="146" spans="2:14" ht="15.75" thickBot="1">
      <c r="B146" s="33" t="s">
        <v>178</v>
      </c>
      <c r="C146" s="32" t="s">
        <v>187</v>
      </c>
    </row>
    <row r="149" spans="2:14">
      <c r="B149" s="251" t="s">
        <v>188</v>
      </c>
      <c r="C149" s="251"/>
      <c r="D149" s="251"/>
      <c r="E149" s="251"/>
      <c r="F149" s="251"/>
      <c r="G149" s="251"/>
      <c r="H149" s="251"/>
      <c r="I149" s="251"/>
      <c r="J149" s="251"/>
      <c r="K149" s="47"/>
      <c r="L149" s="47"/>
      <c r="M149" s="47"/>
      <c r="N149" s="47"/>
    </row>
    <row r="150" spans="2:14">
      <c r="B150" s="42" t="s">
        <v>179</v>
      </c>
      <c r="C150" s="42" t="s">
        <v>33</v>
      </c>
      <c r="D150" s="42" t="s">
        <v>34</v>
      </c>
      <c r="E150" s="42" t="s">
        <v>35</v>
      </c>
      <c r="F150" s="42" t="s">
        <v>50</v>
      </c>
      <c r="G150" s="252" t="s">
        <v>559</v>
      </c>
      <c r="H150" s="253"/>
      <c r="I150" s="119" t="s">
        <v>189</v>
      </c>
      <c r="J150" s="42" t="s">
        <v>190</v>
      </c>
      <c r="K150" s="46"/>
      <c r="L150" s="46"/>
      <c r="M150" s="46"/>
      <c r="N150" s="46"/>
    </row>
    <row r="151" spans="2:14" ht="44.25" customHeight="1">
      <c r="B151" s="172" t="s">
        <v>2</v>
      </c>
      <c r="C151" s="172" t="s">
        <v>191</v>
      </c>
      <c r="D151" s="278"/>
      <c r="E151" s="281"/>
      <c r="F151" s="278"/>
      <c r="G151" s="123" t="s">
        <v>761</v>
      </c>
      <c r="H151" s="124" t="s">
        <v>762</v>
      </c>
      <c r="I151" s="268">
        <v>0.2</v>
      </c>
      <c r="J151" s="172" t="s">
        <v>560</v>
      </c>
    </row>
    <row r="152" spans="2:14" ht="72" customHeight="1">
      <c r="B152" s="277"/>
      <c r="C152" s="277"/>
      <c r="D152" s="279"/>
      <c r="E152" s="282"/>
      <c r="F152" s="279"/>
      <c r="G152" s="123" t="s">
        <v>681</v>
      </c>
      <c r="H152" s="124" t="s">
        <v>682</v>
      </c>
      <c r="I152" s="269"/>
      <c r="J152" s="277"/>
    </row>
    <row r="153" spans="2:14" ht="67.5" customHeight="1">
      <c r="B153" s="173"/>
      <c r="C153" s="173"/>
      <c r="D153" s="280"/>
      <c r="E153" s="283"/>
      <c r="F153" s="280"/>
      <c r="G153" s="123" t="s">
        <v>684</v>
      </c>
      <c r="H153" s="124" t="s">
        <v>685</v>
      </c>
      <c r="I153" s="270"/>
      <c r="J153" s="173"/>
    </row>
    <row r="154" spans="2:14" ht="67.5" customHeight="1">
      <c r="B154" s="34" t="s">
        <v>180</v>
      </c>
      <c r="C154" s="36" t="s">
        <v>568</v>
      </c>
      <c r="D154" s="36" t="s">
        <v>199</v>
      </c>
      <c r="E154" s="36"/>
      <c r="F154" s="34"/>
      <c r="G154" s="52" t="s">
        <v>686</v>
      </c>
      <c r="H154" s="53" t="s">
        <v>687</v>
      </c>
      <c r="I154" s="120">
        <v>0</v>
      </c>
      <c r="J154" s="36" t="s">
        <v>192</v>
      </c>
      <c r="L154" t="s">
        <v>561</v>
      </c>
    </row>
    <row r="155" spans="2:14" ht="30">
      <c r="B155" s="139" t="s">
        <v>181</v>
      </c>
      <c r="C155" s="122" t="s">
        <v>569</v>
      </c>
      <c r="D155" s="122" t="s">
        <v>193</v>
      </c>
      <c r="E155" s="126"/>
      <c r="F155" s="125"/>
      <c r="G155" s="123" t="s">
        <v>763</v>
      </c>
      <c r="H155" s="127" t="s">
        <v>764</v>
      </c>
      <c r="I155" s="120" t="s">
        <v>688</v>
      </c>
      <c r="J155" s="122" t="s">
        <v>562</v>
      </c>
    </row>
    <row r="156" spans="2:14" ht="45" customHeight="1">
      <c r="B156" s="37" t="s">
        <v>182</v>
      </c>
      <c r="C156" s="36" t="s">
        <v>297</v>
      </c>
      <c r="D156" s="36" t="s">
        <v>549</v>
      </c>
      <c r="E156" s="36" t="s">
        <v>298</v>
      </c>
      <c r="F156" s="36" t="s">
        <v>299</v>
      </c>
      <c r="G156" s="36" t="s">
        <v>691</v>
      </c>
      <c r="H156" s="36" t="s">
        <v>692</v>
      </c>
      <c r="I156" s="120">
        <v>1</v>
      </c>
      <c r="J156" s="45" t="s">
        <v>693</v>
      </c>
    </row>
    <row r="157" spans="2:14" ht="174.75" customHeight="1">
      <c r="B157" s="34" t="s">
        <v>183</v>
      </c>
      <c r="C157" s="36" t="s">
        <v>297</v>
      </c>
      <c r="D157" s="36" t="s">
        <v>547</v>
      </c>
      <c r="E157" s="36" t="s">
        <v>298</v>
      </c>
      <c r="F157" s="36" t="s">
        <v>299</v>
      </c>
      <c r="G157" s="36" t="s">
        <v>769</v>
      </c>
      <c r="H157" s="36" t="s">
        <v>765</v>
      </c>
      <c r="I157" s="160" t="s">
        <v>766</v>
      </c>
      <c r="J157" s="45" t="s">
        <v>563</v>
      </c>
    </row>
    <row r="158" spans="2:14" ht="150">
      <c r="B158" s="34" t="s">
        <v>184</v>
      </c>
      <c r="C158" s="36" t="s">
        <v>297</v>
      </c>
      <c r="D158" s="36" t="s">
        <v>548</v>
      </c>
      <c r="E158" s="36" t="s">
        <v>298</v>
      </c>
      <c r="F158" s="36" t="s">
        <v>299</v>
      </c>
      <c r="G158" s="36" t="s">
        <v>768</v>
      </c>
      <c r="H158" s="36" t="s">
        <v>770</v>
      </c>
      <c r="I158" s="160" t="s">
        <v>766</v>
      </c>
      <c r="J158" s="45" t="s">
        <v>694</v>
      </c>
    </row>
    <row r="161" spans="2:13">
      <c r="B161" s="251" t="s">
        <v>198</v>
      </c>
      <c r="C161" s="251"/>
      <c r="D161" s="251"/>
      <c r="E161" s="251"/>
      <c r="F161" s="251"/>
      <c r="G161" s="251"/>
      <c r="H161" s="251"/>
      <c r="I161" s="251"/>
      <c r="J161" s="251"/>
    </row>
    <row r="162" spans="2:13">
      <c r="B162" s="42" t="s">
        <v>179</v>
      </c>
      <c r="C162" s="42" t="s">
        <v>33</v>
      </c>
      <c r="D162" s="42" t="s">
        <v>34</v>
      </c>
      <c r="E162" s="42" t="s">
        <v>35</v>
      </c>
      <c r="F162" s="42" t="s">
        <v>50</v>
      </c>
      <c r="G162" s="252" t="s">
        <v>196</v>
      </c>
      <c r="H162" s="253"/>
      <c r="I162" s="119" t="s">
        <v>189</v>
      </c>
      <c r="J162" s="42" t="s">
        <v>190</v>
      </c>
    </row>
    <row r="163" spans="2:13" ht="79.5" customHeight="1">
      <c r="B163" s="296" t="s">
        <v>2</v>
      </c>
      <c r="C163" s="172" t="s">
        <v>194</v>
      </c>
      <c r="D163" s="172" t="s">
        <v>195</v>
      </c>
      <c r="E163" s="296"/>
      <c r="F163" s="172"/>
      <c r="G163" s="146" t="s">
        <v>771</v>
      </c>
      <c r="H163" s="124" t="s">
        <v>698</v>
      </c>
      <c r="I163" s="268">
        <v>0.2</v>
      </c>
      <c r="J163" s="172" t="s">
        <v>197</v>
      </c>
    </row>
    <row r="164" spans="2:13" ht="31.5" customHeight="1">
      <c r="B164" s="298"/>
      <c r="C164" s="277"/>
      <c r="D164" s="277"/>
      <c r="E164" s="298"/>
      <c r="F164" s="277"/>
      <c r="G164" s="145" t="s">
        <v>699</v>
      </c>
      <c r="H164" s="147" t="s">
        <v>683</v>
      </c>
      <c r="I164" s="269"/>
      <c r="J164" s="277"/>
    </row>
    <row r="165" spans="2:13" ht="45.75" customHeight="1">
      <c r="B165" s="297"/>
      <c r="C165" s="173"/>
      <c r="D165" s="173"/>
      <c r="E165" s="297"/>
      <c r="F165" s="173"/>
      <c r="G165" s="145" t="s">
        <v>772</v>
      </c>
      <c r="H165" s="147" t="s">
        <v>773</v>
      </c>
      <c r="I165" s="270"/>
      <c r="J165" s="173"/>
    </row>
    <row r="166" spans="2:13" ht="67.5" customHeight="1">
      <c r="B166" s="34" t="s">
        <v>180</v>
      </c>
      <c r="C166" s="36" t="s">
        <v>570</v>
      </c>
      <c r="D166" s="36" t="s">
        <v>200</v>
      </c>
      <c r="E166" s="36"/>
      <c r="F166" s="34"/>
      <c r="G166" s="52" t="s">
        <v>700</v>
      </c>
      <c r="H166" s="53" t="s">
        <v>701</v>
      </c>
      <c r="I166" s="120">
        <v>0</v>
      </c>
      <c r="J166" s="36" t="s">
        <v>201</v>
      </c>
    </row>
    <row r="167" spans="2:13" ht="99.75" customHeight="1">
      <c r="B167" s="296" t="s">
        <v>181</v>
      </c>
      <c r="C167" s="172" t="s">
        <v>569</v>
      </c>
      <c r="D167" s="172" t="s">
        <v>202</v>
      </c>
      <c r="E167" s="172" t="s">
        <v>702</v>
      </c>
      <c r="F167" s="172"/>
      <c r="G167" s="146" t="s">
        <v>703</v>
      </c>
      <c r="H167" s="124" t="s">
        <v>704</v>
      </c>
      <c r="I167" s="271" t="s">
        <v>776</v>
      </c>
      <c r="J167" s="172" t="s">
        <v>203</v>
      </c>
    </row>
    <row r="168" spans="2:13" ht="61.5" customHeight="1">
      <c r="B168" s="297"/>
      <c r="C168" s="173"/>
      <c r="D168" s="173"/>
      <c r="E168" s="173"/>
      <c r="F168" s="173"/>
      <c r="G168" s="145" t="s">
        <v>774</v>
      </c>
      <c r="H168" s="147" t="s">
        <v>775</v>
      </c>
      <c r="I168" s="272"/>
      <c r="J168" s="173"/>
    </row>
    <row r="169" spans="2:13" ht="107.25" customHeight="1">
      <c r="B169" s="34" t="s">
        <v>182</v>
      </c>
      <c r="C169" s="36" t="s">
        <v>297</v>
      </c>
      <c r="D169" s="36" t="s">
        <v>549</v>
      </c>
      <c r="E169" s="36" t="s">
        <v>298</v>
      </c>
      <c r="F169" s="36" t="s">
        <v>299</v>
      </c>
      <c r="G169" s="36" t="s">
        <v>778</v>
      </c>
      <c r="H169" s="36" t="s">
        <v>779</v>
      </c>
      <c r="I169" s="120">
        <v>1</v>
      </c>
      <c r="J169" s="45" t="s">
        <v>623</v>
      </c>
    </row>
    <row r="170" spans="2:13" ht="213.75" customHeight="1">
      <c r="B170" s="34" t="s">
        <v>183</v>
      </c>
      <c r="C170" s="36" t="s">
        <v>297</v>
      </c>
      <c r="D170" s="36" t="s">
        <v>547</v>
      </c>
      <c r="E170" s="36" t="s">
        <v>298</v>
      </c>
      <c r="F170" s="36" t="s">
        <v>299</v>
      </c>
      <c r="G170" s="36" t="s">
        <v>780</v>
      </c>
      <c r="H170" s="36" t="s">
        <v>781</v>
      </c>
      <c r="I170" s="160" t="s">
        <v>782</v>
      </c>
      <c r="J170" s="45" t="s">
        <v>564</v>
      </c>
    </row>
    <row r="171" spans="2:13" ht="183" customHeight="1">
      <c r="B171" s="34" t="s">
        <v>184</v>
      </c>
      <c r="C171" s="36" t="s">
        <v>297</v>
      </c>
      <c r="D171" s="36" t="s">
        <v>548</v>
      </c>
      <c r="E171" s="36" t="s">
        <v>298</v>
      </c>
      <c r="F171" s="36" t="s">
        <v>299</v>
      </c>
      <c r="G171" s="36" t="s">
        <v>784</v>
      </c>
      <c r="H171" s="36" t="s">
        <v>785</v>
      </c>
      <c r="I171" s="160" t="s">
        <v>782</v>
      </c>
      <c r="J171" s="45" t="s">
        <v>564</v>
      </c>
    </row>
    <row r="172" spans="2:13" ht="15.75" thickBot="1"/>
    <row r="173" spans="2:13">
      <c r="B173" s="274" t="s">
        <v>432</v>
      </c>
      <c r="C173" s="275"/>
      <c r="D173" s="275"/>
      <c r="E173" s="275"/>
      <c r="F173" s="275"/>
      <c r="G173" s="275"/>
      <c r="H173" s="275"/>
      <c r="I173" s="275"/>
      <c r="J173" s="275"/>
      <c r="K173" s="275"/>
      <c r="L173" s="275"/>
      <c r="M173" s="276"/>
    </row>
    <row r="174" spans="2:13">
      <c r="B174" t="s">
        <v>527</v>
      </c>
    </row>
    <row r="175" spans="2:13" ht="15.75" thickBot="1"/>
    <row r="176" spans="2:13" ht="18.75" thickBot="1">
      <c r="B176" s="33" t="s">
        <v>77</v>
      </c>
      <c r="C176" s="32" t="s">
        <v>78</v>
      </c>
    </row>
    <row r="178" spans="2:5">
      <c r="B178" s="38" t="s">
        <v>161</v>
      </c>
    </row>
    <row r="180" spans="2:5">
      <c r="B180" s="273" t="s">
        <v>101</v>
      </c>
      <c r="C180" s="273"/>
      <c r="D180" s="273"/>
      <c r="E180" s="273"/>
    </row>
    <row r="181" spans="2:5">
      <c r="B181" s="42" t="s">
        <v>66</v>
      </c>
      <c r="C181" s="42" t="s">
        <v>244</v>
      </c>
      <c r="D181" s="42" t="s">
        <v>87</v>
      </c>
      <c r="E181" s="42" t="s">
        <v>102</v>
      </c>
    </row>
    <row r="182" spans="2:5">
      <c r="B182" s="36" t="s">
        <v>152</v>
      </c>
      <c r="C182" s="34">
        <f>C185*1.2</f>
        <v>0.99959999999999993</v>
      </c>
      <c r="D182" s="36" t="s">
        <v>154</v>
      </c>
      <c r="E182" s="36" t="s">
        <v>150</v>
      </c>
    </row>
    <row r="183" spans="2:5">
      <c r="B183" s="36" t="s">
        <v>153</v>
      </c>
      <c r="C183" s="34">
        <f>C186*1.5</f>
        <v>2.9729999999999999</v>
      </c>
      <c r="D183" s="36" t="s">
        <v>154</v>
      </c>
      <c r="E183" s="34" t="s">
        <v>150</v>
      </c>
    </row>
    <row r="184" spans="2:5">
      <c r="B184" s="273" t="s">
        <v>123</v>
      </c>
      <c r="C184" s="273"/>
      <c r="D184" s="273"/>
      <c r="E184" s="273"/>
    </row>
    <row r="185" spans="2:5">
      <c r="B185" s="1" t="s">
        <v>156</v>
      </c>
      <c r="C185" s="43">
        <v>0.83299999999999996</v>
      </c>
      <c r="D185" s="1"/>
      <c r="E185" s="1"/>
    </row>
    <row r="186" spans="2:5">
      <c r="B186" s="1" t="s">
        <v>155</v>
      </c>
      <c r="C186" s="43">
        <v>1.982</v>
      </c>
      <c r="D186" s="1"/>
      <c r="E186" s="1"/>
    </row>
    <row r="188" spans="2:5">
      <c r="B188" s="273" t="s">
        <v>101</v>
      </c>
      <c r="C188" s="273"/>
      <c r="D188" s="273"/>
      <c r="E188" s="273"/>
    </row>
    <row r="189" spans="2:5">
      <c r="B189" s="42" t="s">
        <v>66</v>
      </c>
      <c r="C189" s="42" t="s">
        <v>244</v>
      </c>
      <c r="D189" s="42" t="s">
        <v>87</v>
      </c>
      <c r="E189" s="42" t="s">
        <v>102</v>
      </c>
    </row>
    <row r="190" spans="2:5">
      <c r="B190" s="36" t="s">
        <v>157</v>
      </c>
      <c r="C190" s="34">
        <f>C192*1.5</f>
        <v>0.35249999999999998</v>
      </c>
      <c r="D190" s="36" t="s">
        <v>154</v>
      </c>
      <c r="E190" s="34" t="s">
        <v>159</v>
      </c>
    </row>
    <row r="191" spans="2:5">
      <c r="B191" s="273" t="s">
        <v>123</v>
      </c>
      <c r="C191" s="273"/>
      <c r="D191" s="273"/>
      <c r="E191" s="273"/>
    </row>
    <row r="192" spans="2:5">
      <c r="B192" s="1" t="s">
        <v>158</v>
      </c>
      <c r="C192" s="43">
        <v>0.23499999999999999</v>
      </c>
      <c r="D192" s="1"/>
      <c r="E192" s="1"/>
    </row>
    <row r="194" spans="2:6">
      <c r="B194" s="273" t="s">
        <v>101</v>
      </c>
      <c r="C194" s="273"/>
      <c r="D194" s="273"/>
      <c r="E194" s="273"/>
    </row>
    <row r="195" spans="2:6">
      <c r="B195" s="42" t="s">
        <v>66</v>
      </c>
      <c r="C195" s="42" t="s">
        <v>244</v>
      </c>
      <c r="D195" s="42" t="s">
        <v>87</v>
      </c>
      <c r="E195" s="42" t="s">
        <v>102</v>
      </c>
    </row>
    <row r="196" spans="2:6" ht="45">
      <c r="B196" s="36" t="s">
        <v>435</v>
      </c>
      <c r="C196" s="34">
        <v>1.079</v>
      </c>
      <c r="D196" s="36" t="s">
        <v>437</v>
      </c>
      <c r="E196" s="117" t="s">
        <v>438</v>
      </c>
    </row>
    <row r="197" spans="2:6" ht="45">
      <c r="B197" s="36" t="s">
        <v>436</v>
      </c>
      <c r="C197" s="34">
        <v>1.2490000000000001</v>
      </c>
      <c r="D197" s="36" t="s">
        <v>437</v>
      </c>
      <c r="E197" s="34" t="s">
        <v>439</v>
      </c>
    </row>
    <row r="198" spans="2:6">
      <c r="B198" s="273" t="s">
        <v>123</v>
      </c>
      <c r="C198" s="273"/>
      <c r="D198" s="273"/>
      <c r="E198" s="273"/>
    </row>
    <row r="199" spans="2:6">
      <c r="B199" s="1" t="s">
        <v>433</v>
      </c>
      <c r="C199" s="43">
        <v>1.079</v>
      </c>
      <c r="D199" s="1"/>
      <c r="E199" s="1"/>
    </row>
    <row r="200" spans="2:6">
      <c r="B200" s="1" t="s">
        <v>434</v>
      </c>
      <c r="C200" s="43">
        <f>C197</f>
        <v>1.2490000000000001</v>
      </c>
      <c r="D200" s="1"/>
      <c r="E200" s="1"/>
    </row>
    <row r="202" spans="2:6">
      <c r="B202" s="38" t="s">
        <v>440</v>
      </c>
    </row>
    <row r="204" spans="2:6">
      <c r="B204" s="259" t="s">
        <v>441</v>
      </c>
      <c r="C204" s="260"/>
      <c r="D204" s="41" t="s">
        <v>442</v>
      </c>
      <c r="E204" s="261" t="s">
        <v>87</v>
      </c>
      <c r="F204" s="261"/>
    </row>
    <row r="205" spans="2:6">
      <c r="B205" s="244"/>
      <c r="C205" s="254"/>
      <c r="D205" s="34">
        <v>0.94199999999999995</v>
      </c>
      <c r="E205" s="255" t="s">
        <v>443</v>
      </c>
      <c r="F205" s="255"/>
    </row>
    <row r="206" spans="2:6" ht="32.25" customHeight="1">
      <c r="B206" s="244"/>
      <c r="C206" s="254"/>
      <c r="D206" s="34">
        <v>0.25</v>
      </c>
      <c r="E206" s="262" t="s">
        <v>444</v>
      </c>
      <c r="F206" s="265"/>
    </row>
    <row r="207" spans="2:6">
      <c r="B207" s="244"/>
      <c r="C207" s="254"/>
      <c r="D207" s="34">
        <v>0.09</v>
      </c>
      <c r="E207" s="262" t="s">
        <v>445</v>
      </c>
      <c r="F207" s="265"/>
    </row>
    <row r="208" spans="2:6" ht="18.75" customHeight="1">
      <c r="B208" s="244"/>
      <c r="C208" s="254"/>
      <c r="D208" s="34">
        <v>0.11700000000000001</v>
      </c>
      <c r="E208" s="262" t="s">
        <v>446</v>
      </c>
      <c r="F208" s="265"/>
    </row>
    <row r="209" spans="2:6" ht="49.5" customHeight="1">
      <c r="B209" s="244"/>
      <c r="C209" s="254"/>
      <c r="D209" s="34">
        <v>1.603E-3</v>
      </c>
      <c r="E209" s="262" t="s">
        <v>447</v>
      </c>
      <c r="F209" s="265"/>
    </row>
    <row r="210" spans="2:6" ht="57" customHeight="1">
      <c r="B210" s="244"/>
      <c r="C210" s="254"/>
      <c r="D210" s="34">
        <v>2.2680000000000001E-3</v>
      </c>
      <c r="E210" s="255" t="s">
        <v>447</v>
      </c>
      <c r="F210" s="256"/>
    </row>
    <row r="211" spans="2:6">
      <c r="B211" s="257" t="s">
        <v>90</v>
      </c>
      <c r="C211" s="258"/>
      <c r="D211" s="39">
        <v>0.23380000000000001</v>
      </c>
      <c r="E211" s="211"/>
      <c r="F211" s="211"/>
    </row>
    <row r="213" spans="2:6">
      <c r="B213" s="259" t="s">
        <v>448</v>
      </c>
      <c r="C213" s="260"/>
      <c r="D213" s="40" t="s">
        <v>449</v>
      </c>
      <c r="E213" s="261" t="s">
        <v>87</v>
      </c>
      <c r="F213" s="261"/>
    </row>
    <row r="214" spans="2:6" ht="51" customHeight="1">
      <c r="B214" s="244"/>
      <c r="C214" s="254"/>
      <c r="D214" s="34">
        <v>2.9499999999999998E-2</v>
      </c>
      <c r="E214" s="255" t="s">
        <v>450</v>
      </c>
      <c r="F214" s="255"/>
    </row>
    <row r="215" spans="2:6" ht="49.5" customHeight="1">
      <c r="B215" s="244"/>
      <c r="C215" s="254"/>
      <c r="D215" s="34">
        <v>3.5999999999999997E-2</v>
      </c>
      <c r="E215" s="255" t="s">
        <v>451</v>
      </c>
      <c r="F215" s="256"/>
    </row>
    <row r="216" spans="2:6">
      <c r="B216" s="257" t="s">
        <v>90</v>
      </c>
      <c r="C216" s="258"/>
      <c r="D216" s="39">
        <v>3.2750000000000001E-2</v>
      </c>
      <c r="E216" s="211"/>
      <c r="F216" s="211"/>
    </row>
    <row r="218" spans="2:6">
      <c r="B218" s="259" t="s">
        <v>452</v>
      </c>
      <c r="C218" s="260"/>
      <c r="D218" s="41" t="s">
        <v>453</v>
      </c>
      <c r="E218" s="261" t="s">
        <v>87</v>
      </c>
      <c r="F218" s="261"/>
    </row>
    <row r="219" spans="2:6">
      <c r="B219" s="244"/>
      <c r="C219" s="254"/>
      <c r="D219" s="34">
        <v>1.125E-2</v>
      </c>
      <c r="E219" s="255" t="s">
        <v>454</v>
      </c>
      <c r="F219" s="255"/>
    </row>
    <row r="220" spans="2:6" ht="31.5" customHeight="1">
      <c r="B220" s="244"/>
      <c r="C220" s="254"/>
      <c r="D220" s="34">
        <v>3.68</v>
      </c>
      <c r="E220" s="262" t="s">
        <v>455</v>
      </c>
      <c r="F220" s="265"/>
    </row>
    <row r="221" spans="2:6">
      <c r="B221" s="244"/>
      <c r="C221" s="254"/>
      <c r="D221" s="34">
        <v>4.2</v>
      </c>
      <c r="E221" s="262" t="s">
        <v>456</v>
      </c>
      <c r="F221" s="265"/>
    </row>
    <row r="222" spans="2:6">
      <c r="B222" s="244"/>
      <c r="C222" s="254"/>
      <c r="D222" s="34">
        <v>3.1248</v>
      </c>
      <c r="E222" s="262" t="s">
        <v>456</v>
      </c>
      <c r="F222" s="265"/>
    </row>
    <row r="223" spans="2:6">
      <c r="B223" s="244"/>
      <c r="C223" s="254"/>
      <c r="D223" s="34">
        <v>1.764</v>
      </c>
      <c r="E223" s="262" t="s">
        <v>456</v>
      </c>
      <c r="F223" s="265"/>
    </row>
    <row r="224" spans="2:6">
      <c r="B224" s="244"/>
      <c r="C224" s="254"/>
      <c r="D224" s="34">
        <v>1.3440000000000001</v>
      </c>
      <c r="E224" s="255" t="s">
        <v>457</v>
      </c>
      <c r="F224" s="256"/>
    </row>
    <row r="225" spans="2:6">
      <c r="B225" s="257"/>
      <c r="C225" s="258"/>
      <c r="D225" s="34">
        <v>1.1060000000000001</v>
      </c>
      <c r="E225" s="255" t="s">
        <v>457</v>
      </c>
      <c r="F225" s="256"/>
    </row>
    <row r="226" spans="2:6">
      <c r="B226" s="266"/>
      <c r="C226" s="267"/>
      <c r="D226" s="109">
        <v>0.88200000000000001</v>
      </c>
      <c r="E226" s="255" t="s">
        <v>457</v>
      </c>
      <c r="F226" s="256"/>
    </row>
    <row r="227" spans="2:6">
      <c r="B227" s="266"/>
      <c r="C227" s="267"/>
      <c r="D227" s="109">
        <v>0.74199999999999999</v>
      </c>
      <c r="E227" s="255" t="s">
        <v>457</v>
      </c>
      <c r="F227" s="256"/>
    </row>
    <row r="228" spans="2:6">
      <c r="B228" s="266"/>
      <c r="C228" s="267"/>
      <c r="D228" s="109">
        <v>0.66779999999999995</v>
      </c>
      <c r="E228" s="255" t="s">
        <v>457</v>
      </c>
      <c r="F228" s="256"/>
    </row>
    <row r="229" spans="2:6">
      <c r="B229" s="266"/>
      <c r="C229" s="267"/>
      <c r="D229" s="109">
        <v>0.71399999999999997</v>
      </c>
      <c r="E229" s="255" t="s">
        <v>457</v>
      </c>
      <c r="F229" s="256"/>
    </row>
    <row r="230" spans="2:6">
      <c r="B230" s="266"/>
      <c r="C230" s="267"/>
      <c r="D230" s="109">
        <v>0.81200000000000006</v>
      </c>
      <c r="E230" s="255" t="s">
        <v>457</v>
      </c>
      <c r="F230" s="256"/>
    </row>
    <row r="231" spans="2:6">
      <c r="B231" s="244"/>
      <c r="C231" s="254"/>
      <c r="D231" s="34">
        <v>0.80500000000000005</v>
      </c>
      <c r="E231" s="255" t="s">
        <v>457</v>
      </c>
      <c r="F231" s="256"/>
    </row>
    <row r="232" spans="2:6">
      <c r="B232" s="257" t="s">
        <v>90</v>
      </c>
      <c r="C232" s="258"/>
      <c r="D232" s="39">
        <v>1.5271399999999999</v>
      </c>
      <c r="E232" s="211"/>
      <c r="F232" s="211"/>
    </row>
    <row r="233" spans="2:6">
      <c r="B233" s="111"/>
      <c r="C233" s="111"/>
      <c r="D233" s="111"/>
      <c r="E233" s="25"/>
      <c r="F233" s="25"/>
    </row>
    <row r="234" spans="2:6">
      <c r="B234" s="259" t="s">
        <v>458</v>
      </c>
      <c r="C234" s="260"/>
      <c r="D234" s="41" t="s">
        <v>459</v>
      </c>
      <c r="E234" s="261" t="s">
        <v>87</v>
      </c>
      <c r="F234" s="261"/>
    </row>
    <row r="235" spans="2:6">
      <c r="B235" s="244"/>
      <c r="C235" s="254"/>
      <c r="D235" s="34">
        <v>5.0000000000000001E-3</v>
      </c>
      <c r="E235" s="255" t="s">
        <v>460</v>
      </c>
      <c r="F235" s="255"/>
    </row>
    <row r="236" spans="2:6">
      <c r="B236" s="244"/>
      <c r="C236" s="254"/>
      <c r="D236" s="34">
        <v>0.01</v>
      </c>
      <c r="E236" s="262" t="s">
        <v>460</v>
      </c>
      <c r="F236" s="265"/>
    </row>
    <row r="237" spans="2:6" ht="49.5" customHeight="1">
      <c r="B237" s="244"/>
      <c r="C237" s="254"/>
      <c r="D237" s="34">
        <v>1.67E-3</v>
      </c>
      <c r="E237" s="262" t="s">
        <v>461</v>
      </c>
      <c r="F237" s="265"/>
    </row>
    <row r="238" spans="2:6" ht="54" customHeight="1">
      <c r="B238" s="244"/>
      <c r="C238" s="254"/>
      <c r="D238" s="34">
        <v>2.2499999999999998E-3</v>
      </c>
      <c r="E238" s="262" t="s">
        <v>462</v>
      </c>
      <c r="F238" s="265"/>
    </row>
    <row r="239" spans="2:6" ht="49.5" customHeight="1">
      <c r="B239" s="244"/>
      <c r="C239" s="254"/>
      <c r="D239" s="34">
        <v>3.0000000000000001E-3</v>
      </c>
      <c r="E239" s="262" t="s">
        <v>463</v>
      </c>
      <c r="F239" s="265"/>
    </row>
    <row r="240" spans="2:6" ht="48.75" customHeight="1">
      <c r="B240" s="244"/>
      <c r="C240" s="254"/>
      <c r="D240" s="34">
        <v>1.67E-2</v>
      </c>
      <c r="E240" s="255" t="s">
        <v>464</v>
      </c>
      <c r="F240" s="256"/>
    </row>
    <row r="241" spans="2:6" ht="54.75" customHeight="1">
      <c r="B241" s="257"/>
      <c r="C241" s="258"/>
      <c r="D241" s="34">
        <v>1.4E-2</v>
      </c>
      <c r="E241" s="255" t="s">
        <v>465</v>
      </c>
      <c r="F241" s="256"/>
    </row>
    <row r="242" spans="2:6" ht="51.75" customHeight="1">
      <c r="B242" s="266"/>
      <c r="C242" s="267"/>
      <c r="D242" s="109">
        <v>8.9999999999999993E-3</v>
      </c>
      <c r="E242" s="255" t="s">
        <v>466</v>
      </c>
      <c r="F242" s="256"/>
    </row>
    <row r="243" spans="2:6">
      <c r="B243" s="257" t="s">
        <v>90</v>
      </c>
      <c r="C243" s="258"/>
      <c r="D243" s="39">
        <v>7.7000000000000002E-3</v>
      </c>
      <c r="E243" s="211"/>
      <c r="F243" s="211"/>
    </row>
    <row r="244" spans="2:6">
      <c r="B244" s="111"/>
      <c r="C244" s="111"/>
      <c r="D244" s="111"/>
      <c r="E244" s="25"/>
      <c r="F244" s="25"/>
    </row>
    <row r="245" spans="2:6">
      <c r="B245" s="259" t="s">
        <v>467</v>
      </c>
      <c r="C245" s="260"/>
      <c r="D245" s="41" t="s">
        <v>468</v>
      </c>
      <c r="E245" s="261" t="s">
        <v>87</v>
      </c>
      <c r="F245" s="261"/>
    </row>
    <row r="246" spans="2:6">
      <c r="B246" s="244"/>
      <c r="C246" s="254"/>
      <c r="D246" s="34">
        <v>0.75600000000000001</v>
      </c>
      <c r="E246" s="255" t="s">
        <v>475</v>
      </c>
      <c r="F246" s="255"/>
    </row>
    <row r="247" spans="2:6" ht="15" customHeight="1">
      <c r="B247" s="244"/>
      <c r="C247" s="254"/>
      <c r="D247" s="34">
        <v>0.64</v>
      </c>
      <c r="E247" s="262" t="s">
        <v>474</v>
      </c>
      <c r="F247" s="265"/>
    </row>
    <row r="248" spans="2:6">
      <c r="B248" s="244"/>
      <c r="C248" s="254"/>
      <c r="D248" s="34">
        <v>1</v>
      </c>
      <c r="E248" s="262" t="s">
        <v>474</v>
      </c>
      <c r="F248" s="265"/>
    </row>
    <row r="249" spans="2:6" ht="15" customHeight="1">
      <c r="B249" s="244"/>
      <c r="C249" s="254"/>
      <c r="D249" s="34">
        <v>0.97199999999999998</v>
      </c>
      <c r="E249" s="262" t="s">
        <v>471</v>
      </c>
      <c r="F249" s="265"/>
    </row>
    <row r="250" spans="2:6">
      <c r="B250" s="244"/>
      <c r="C250" s="254"/>
      <c r="D250" s="34">
        <v>0.82799999999999996</v>
      </c>
      <c r="E250" s="262" t="s">
        <v>471</v>
      </c>
      <c r="F250" s="265"/>
    </row>
    <row r="251" spans="2:6">
      <c r="B251" s="244"/>
      <c r="C251" s="254"/>
      <c r="D251" s="34">
        <v>0.1008</v>
      </c>
      <c r="E251" s="255" t="s">
        <v>473</v>
      </c>
      <c r="F251" s="256"/>
    </row>
    <row r="252" spans="2:6">
      <c r="B252" s="257"/>
      <c r="C252" s="258"/>
      <c r="D252" s="34">
        <v>0.504</v>
      </c>
      <c r="E252" s="255" t="s">
        <v>473</v>
      </c>
      <c r="F252" s="256"/>
    </row>
    <row r="253" spans="2:6">
      <c r="B253" s="266"/>
      <c r="C253" s="267"/>
      <c r="D253" s="109">
        <v>1.512</v>
      </c>
      <c r="E253" s="255" t="s">
        <v>472</v>
      </c>
      <c r="F253" s="256"/>
    </row>
    <row r="254" spans="2:6">
      <c r="B254" s="266"/>
      <c r="C254" s="267"/>
      <c r="D254" s="109">
        <v>0.11899999999999999</v>
      </c>
      <c r="E254" s="255" t="s">
        <v>472</v>
      </c>
      <c r="F254" s="256"/>
    </row>
    <row r="255" spans="2:6">
      <c r="B255" s="266"/>
      <c r="C255" s="267"/>
      <c r="D255" s="109">
        <v>5.3999999999999999E-2</v>
      </c>
      <c r="E255" s="255" t="s">
        <v>471</v>
      </c>
      <c r="F255" s="256"/>
    </row>
    <row r="256" spans="2:6" ht="33.75" customHeight="1">
      <c r="B256" s="266"/>
      <c r="C256" s="267"/>
      <c r="D256" s="109">
        <v>1.288</v>
      </c>
      <c r="E256" s="255" t="s">
        <v>470</v>
      </c>
      <c r="F256" s="256"/>
    </row>
    <row r="257" spans="2:6" ht="30" customHeight="1">
      <c r="B257" s="266"/>
      <c r="C257" s="267"/>
      <c r="D257" s="109">
        <v>2.1</v>
      </c>
      <c r="E257" s="255" t="s">
        <v>470</v>
      </c>
      <c r="F257" s="256"/>
    </row>
    <row r="258" spans="2:6">
      <c r="B258" s="110"/>
      <c r="C258" s="112"/>
      <c r="D258" s="34">
        <v>0.95399999999999996</v>
      </c>
      <c r="E258" s="255" t="s">
        <v>469</v>
      </c>
      <c r="F258" s="256"/>
    </row>
    <row r="259" spans="2:6" ht="16.5" customHeight="1">
      <c r="B259" s="244"/>
      <c r="C259" s="254"/>
      <c r="D259" s="34">
        <v>1.8759999999999999</v>
      </c>
      <c r="E259" s="255" t="s">
        <v>469</v>
      </c>
      <c r="F259" s="256"/>
    </row>
    <row r="260" spans="2:6">
      <c r="B260" s="257" t="s">
        <v>90</v>
      </c>
      <c r="C260" s="258"/>
      <c r="D260" s="39">
        <v>1.1097999999999999</v>
      </c>
      <c r="E260" s="211"/>
      <c r="F260" s="211"/>
    </row>
    <row r="261" spans="2:6">
      <c r="B261" s="111"/>
      <c r="C261" s="111"/>
      <c r="D261" s="111"/>
      <c r="E261" s="25"/>
      <c r="F261" s="25"/>
    </row>
    <row r="262" spans="2:6">
      <c r="B262" s="259" t="s">
        <v>476</v>
      </c>
      <c r="C262" s="260"/>
      <c r="D262" s="41" t="s">
        <v>477</v>
      </c>
      <c r="E262" s="261" t="s">
        <v>87</v>
      </c>
      <c r="F262" s="261"/>
    </row>
    <row r="263" spans="2:6">
      <c r="B263" s="244"/>
      <c r="C263" s="254"/>
      <c r="D263" s="34">
        <v>0.45200000000000001</v>
      </c>
      <c r="E263" s="255" t="s">
        <v>478</v>
      </c>
      <c r="F263" s="255"/>
    </row>
    <row r="264" spans="2:6" ht="48.75" customHeight="1">
      <c r="B264" s="244"/>
      <c r="C264" s="254"/>
      <c r="D264" s="34">
        <v>0.2016</v>
      </c>
      <c r="E264" s="262" t="s">
        <v>479</v>
      </c>
      <c r="F264" s="265"/>
    </row>
    <row r="265" spans="2:6">
      <c r="B265" s="257" t="s">
        <v>90</v>
      </c>
      <c r="C265" s="258"/>
      <c r="D265" s="39">
        <v>0.32679999999999998</v>
      </c>
      <c r="E265" s="211"/>
      <c r="F265" s="211"/>
    </row>
    <row r="266" spans="2:6">
      <c r="B266" s="111"/>
      <c r="C266" s="111"/>
      <c r="D266" s="111"/>
      <c r="E266" s="25"/>
      <c r="F266" s="25"/>
    </row>
    <row r="267" spans="2:6">
      <c r="B267" s="259" t="s">
        <v>480</v>
      </c>
      <c r="C267" s="260"/>
      <c r="D267" s="41" t="s">
        <v>481</v>
      </c>
      <c r="E267" s="261" t="s">
        <v>87</v>
      </c>
      <c r="F267" s="261"/>
    </row>
    <row r="268" spans="2:6">
      <c r="B268" s="244"/>
      <c r="C268" s="254"/>
      <c r="D268" s="34">
        <v>0.23699999999999999</v>
      </c>
      <c r="E268" s="255" t="s">
        <v>482</v>
      </c>
      <c r="F268" s="255"/>
    </row>
    <row r="269" spans="2:6">
      <c r="B269" s="244"/>
      <c r="C269" s="254"/>
      <c r="D269" s="34">
        <v>0.54</v>
      </c>
      <c r="E269" s="256" t="s">
        <v>483</v>
      </c>
      <c r="F269" s="256"/>
    </row>
    <row r="270" spans="2:6">
      <c r="B270" s="244"/>
      <c r="C270" s="254"/>
      <c r="D270" s="34">
        <v>7.1999999999999995E-2</v>
      </c>
      <c r="E270" s="256" t="s">
        <v>483</v>
      </c>
      <c r="F270" s="256"/>
    </row>
    <row r="271" spans="2:6">
      <c r="B271" s="244"/>
      <c r="C271" s="254"/>
      <c r="D271" s="34">
        <v>2.88</v>
      </c>
      <c r="E271" s="256" t="s">
        <v>483</v>
      </c>
      <c r="F271" s="256"/>
    </row>
    <row r="272" spans="2:6" ht="16.5" customHeight="1">
      <c r="B272" s="244"/>
      <c r="C272" s="254"/>
      <c r="D272" s="34">
        <v>0.65500000000000003</v>
      </c>
      <c r="E272" s="255" t="s">
        <v>484</v>
      </c>
      <c r="F272" s="255"/>
    </row>
    <row r="273" spans="2:6">
      <c r="B273" s="257" t="s">
        <v>90</v>
      </c>
      <c r="C273" s="258"/>
      <c r="D273" s="39">
        <v>0.87680000000000002</v>
      </c>
      <c r="E273" s="211"/>
      <c r="F273" s="211"/>
    </row>
    <row r="275" spans="2:6">
      <c r="B275" s="251" t="s">
        <v>101</v>
      </c>
      <c r="C275" s="251"/>
      <c r="D275" s="251"/>
      <c r="E275" s="251"/>
    </row>
    <row r="276" spans="2:6">
      <c r="B276" s="42" t="s">
        <v>66</v>
      </c>
      <c r="C276" s="42" t="s">
        <v>491</v>
      </c>
      <c r="D276" s="42" t="s">
        <v>87</v>
      </c>
      <c r="E276" s="42" t="s">
        <v>102</v>
      </c>
    </row>
    <row r="277" spans="2:6">
      <c r="B277" s="59" t="s">
        <v>485</v>
      </c>
      <c r="C277" s="55">
        <v>0.39939999999999998</v>
      </c>
      <c r="D277" s="59" t="s">
        <v>486</v>
      </c>
      <c r="E277" s="55"/>
    </row>
    <row r="278" spans="2:6" ht="45">
      <c r="B278" s="59" t="s">
        <v>487</v>
      </c>
      <c r="C278" s="55">
        <f>4.07434*C277</f>
        <v>1.6272913959999999</v>
      </c>
      <c r="D278" s="59" t="s">
        <v>488</v>
      </c>
      <c r="E278" s="55" t="s">
        <v>110</v>
      </c>
    </row>
    <row r="279" spans="2:6" ht="30">
      <c r="B279" s="59" t="s">
        <v>489</v>
      </c>
      <c r="C279" s="55">
        <f>0.03275*C277</f>
        <v>1.3080349999999999E-2</v>
      </c>
      <c r="D279" s="59" t="s">
        <v>492</v>
      </c>
      <c r="E279" s="59" t="s">
        <v>490</v>
      </c>
    </row>
    <row r="280" spans="2:6" ht="30">
      <c r="B280" s="55" t="s">
        <v>114</v>
      </c>
      <c r="C280" s="55">
        <f>7.7*C277</f>
        <v>3.07538</v>
      </c>
      <c r="D280" s="59" t="s">
        <v>493</v>
      </c>
      <c r="E280" s="55" t="s">
        <v>116</v>
      </c>
    </row>
    <row r="281" spans="2:6">
      <c r="B281" s="250" t="s">
        <v>123</v>
      </c>
      <c r="C281" s="250"/>
      <c r="D281" s="250"/>
      <c r="E281" s="250"/>
    </row>
    <row r="282" spans="2:6">
      <c r="B282" s="58" t="s">
        <v>494</v>
      </c>
      <c r="C282" s="55">
        <f>C277</f>
        <v>0.39939999999999998</v>
      </c>
      <c r="D282" s="58" t="s">
        <v>495</v>
      </c>
      <c r="E282" s="58"/>
    </row>
    <row r="284" spans="2:6">
      <c r="B284" s="38" t="s">
        <v>497</v>
      </c>
    </row>
    <row r="286" spans="2:6" ht="42.75" customHeight="1">
      <c r="B286" s="224" t="s">
        <v>496</v>
      </c>
      <c r="C286" s="224"/>
      <c r="D286" s="224"/>
      <c r="E286" s="224"/>
      <c r="F286" s="224"/>
    </row>
    <row r="287" spans="2:6">
      <c r="B287" s="259" t="s">
        <v>498</v>
      </c>
      <c r="C287" s="260"/>
      <c r="D287" s="41" t="s">
        <v>499</v>
      </c>
      <c r="E287" s="261" t="s">
        <v>87</v>
      </c>
      <c r="F287" s="261"/>
    </row>
    <row r="288" spans="2:6">
      <c r="B288" s="244"/>
      <c r="C288" s="254"/>
      <c r="D288" s="34">
        <v>0.18</v>
      </c>
      <c r="E288" s="255" t="s">
        <v>511</v>
      </c>
      <c r="F288" s="255"/>
    </row>
    <row r="289" spans="2:6" ht="38.25" customHeight="1">
      <c r="B289" s="244"/>
      <c r="C289" s="254"/>
      <c r="D289" s="34">
        <v>1.93</v>
      </c>
      <c r="E289" s="255" t="s">
        <v>510</v>
      </c>
      <c r="F289" s="255"/>
    </row>
    <row r="290" spans="2:6">
      <c r="B290" s="244"/>
      <c r="C290" s="254"/>
      <c r="D290" s="34">
        <v>0.1</v>
      </c>
      <c r="E290" s="262" t="s">
        <v>508</v>
      </c>
      <c r="F290" s="265"/>
    </row>
    <row r="291" spans="2:6">
      <c r="B291" s="244"/>
      <c r="C291" s="254"/>
      <c r="D291" s="34">
        <v>4.8</v>
      </c>
      <c r="E291" s="262" t="s">
        <v>508</v>
      </c>
      <c r="F291" s="265"/>
    </row>
    <row r="292" spans="2:6">
      <c r="B292" s="244"/>
      <c r="C292" s="254"/>
      <c r="D292" s="34">
        <v>0.26</v>
      </c>
      <c r="E292" s="264" t="s">
        <v>509</v>
      </c>
      <c r="F292" s="263"/>
    </row>
    <row r="293" spans="2:6">
      <c r="B293" s="244"/>
      <c r="C293" s="254"/>
      <c r="D293" s="34">
        <v>0.14000000000000001</v>
      </c>
      <c r="E293" s="262" t="s">
        <v>508</v>
      </c>
      <c r="F293" s="265"/>
    </row>
    <row r="294" spans="2:6" ht="36" customHeight="1">
      <c r="B294" s="244"/>
      <c r="C294" s="254"/>
      <c r="D294" s="34">
        <v>6.7</v>
      </c>
      <c r="E294" s="262" t="s">
        <v>507</v>
      </c>
      <c r="F294" s="265"/>
    </row>
    <row r="295" spans="2:6">
      <c r="B295" s="244"/>
      <c r="C295" s="254"/>
      <c r="D295" s="34">
        <v>5.53</v>
      </c>
      <c r="E295" s="264" t="s">
        <v>506</v>
      </c>
      <c r="F295" s="263"/>
    </row>
    <row r="296" spans="2:6">
      <c r="B296" s="244"/>
      <c r="C296" s="254"/>
      <c r="D296" s="34">
        <v>1.03</v>
      </c>
      <c r="E296" s="264" t="s">
        <v>506</v>
      </c>
      <c r="F296" s="263"/>
    </row>
    <row r="297" spans="2:6">
      <c r="B297" s="244"/>
      <c r="C297" s="254"/>
      <c r="D297" s="34">
        <v>0.54</v>
      </c>
      <c r="E297" s="264" t="s">
        <v>506</v>
      </c>
      <c r="F297" s="263"/>
    </row>
    <row r="298" spans="2:6">
      <c r="B298" s="244"/>
      <c r="C298" s="254"/>
      <c r="D298" s="34">
        <v>0.37</v>
      </c>
      <c r="E298" s="264" t="s">
        <v>506</v>
      </c>
      <c r="F298" s="263"/>
    </row>
    <row r="299" spans="2:6" ht="47.25" customHeight="1">
      <c r="B299" s="244"/>
      <c r="C299" s="254"/>
      <c r="D299" s="34">
        <v>0.69</v>
      </c>
      <c r="E299" s="262" t="s">
        <v>505</v>
      </c>
      <c r="F299" s="265"/>
    </row>
    <row r="300" spans="2:6">
      <c r="B300" s="244"/>
      <c r="C300" s="254"/>
      <c r="D300" s="34">
        <v>0.27</v>
      </c>
      <c r="E300" s="264" t="s">
        <v>504</v>
      </c>
      <c r="F300" s="263"/>
    </row>
    <row r="301" spans="2:6">
      <c r="B301" s="244"/>
      <c r="C301" s="254"/>
      <c r="D301" s="34">
        <v>0.17</v>
      </c>
      <c r="E301" s="264" t="s">
        <v>503</v>
      </c>
      <c r="F301" s="263"/>
    </row>
    <row r="302" spans="2:6">
      <c r="B302" s="244"/>
      <c r="C302" s="254"/>
      <c r="D302" s="34">
        <v>0.27</v>
      </c>
      <c r="E302" s="264" t="s">
        <v>503</v>
      </c>
      <c r="F302" s="263"/>
    </row>
    <row r="303" spans="2:6">
      <c r="B303" s="244"/>
      <c r="C303" s="254"/>
      <c r="D303" s="34">
        <v>0.35</v>
      </c>
      <c r="E303" s="264" t="s">
        <v>503</v>
      </c>
      <c r="F303" s="263"/>
    </row>
    <row r="304" spans="2:6">
      <c r="B304" s="244"/>
      <c r="C304" s="254"/>
      <c r="D304" s="34">
        <v>4.75</v>
      </c>
      <c r="E304" s="264" t="s">
        <v>503</v>
      </c>
      <c r="F304" s="263"/>
    </row>
    <row r="305" spans="2:6">
      <c r="B305" s="244"/>
      <c r="C305" s="254"/>
      <c r="D305" s="34">
        <v>0.14000000000000001</v>
      </c>
      <c r="E305" s="264" t="s">
        <v>503</v>
      </c>
      <c r="F305" s="263"/>
    </row>
    <row r="306" spans="2:6" ht="34.5" customHeight="1">
      <c r="B306" s="244"/>
      <c r="C306" s="254"/>
      <c r="D306" s="34">
        <v>2.0299999999999998</v>
      </c>
      <c r="E306" s="262" t="s">
        <v>502</v>
      </c>
      <c r="F306" s="263"/>
    </row>
    <row r="307" spans="2:6">
      <c r="B307" s="244"/>
      <c r="C307" s="254"/>
      <c r="D307" s="34">
        <v>0.52</v>
      </c>
      <c r="E307" s="255" t="s">
        <v>500</v>
      </c>
      <c r="F307" s="255"/>
    </row>
    <row r="308" spans="2:6">
      <c r="B308" s="244"/>
      <c r="C308" s="254"/>
      <c r="D308" s="34">
        <v>0.33</v>
      </c>
      <c r="E308" s="255" t="s">
        <v>500</v>
      </c>
      <c r="F308" s="255"/>
    </row>
    <row r="309" spans="2:6">
      <c r="B309" s="244"/>
      <c r="C309" s="254"/>
      <c r="D309" s="34">
        <v>0.27</v>
      </c>
      <c r="E309" s="255" t="s">
        <v>500</v>
      </c>
      <c r="F309" s="255"/>
    </row>
    <row r="310" spans="2:6" ht="31.5" customHeight="1">
      <c r="B310" s="257" t="s">
        <v>90</v>
      </c>
      <c r="C310" s="258"/>
      <c r="D310" s="39">
        <v>1.649</v>
      </c>
      <c r="E310" s="255" t="s">
        <v>501</v>
      </c>
      <c r="F310" s="255"/>
    </row>
    <row r="312" spans="2:6">
      <c r="B312" s="251" t="s">
        <v>101</v>
      </c>
      <c r="C312" s="251"/>
      <c r="D312" s="251"/>
      <c r="E312" s="251"/>
    </row>
    <row r="313" spans="2:6">
      <c r="B313" s="42" t="s">
        <v>66</v>
      </c>
      <c r="C313" s="42" t="s">
        <v>517</v>
      </c>
      <c r="D313" s="42" t="s">
        <v>87</v>
      </c>
      <c r="E313" s="42" t="s">
        <v>102</v>
      </c>
    </row>
    <row r="314" spans="2:6" ht="45">
      <c r="B314" s="59" t="s">
        <v>512</v>
      </c>
      <c r="C314" s="55">
        <f>1.0195*0.948</f>
        <v>0.96648600000000007</v>
      </c>
      <c r="D314" s="59" t="s">
        <v>529</v>
      </c>
      <c r="E314" s="55"/>
    </row>
    <row r="315" spans="2:6" ht="45">
      <c r="B315" s="59" t="s">
        <v>514</v>
      </c>
      <c r="C315" s="55">
        <f>1.1112*0.948</f>
        <v>1.0534176</v>
      </c>
      <c r="D315" s="59" t="s">
        <v>530</v>
      </c>
      <c r="E315" s="55"/>
    </row>
    <row r="316" spans="2:6" ht="30">
      <c r="B316" s="59" t="s">
        <v>487</v>
      </c>
      <c r="C316" s="55">
        <f>(C314+C315)*1.649</f>
        <v>3.3308210364000002</v>
      </c>
      <c r="D316" s="59" t="s">
        <v>515</v>
      </c>
      <c r="E316" s="55" t="s">
        <v>110</v>
      </c>
    </row>
    <row r="317" spans="2:6">
      <c r="B317" s="250" t="s">
        <v>123</v>
      </c>
      <c r="C317" s="250"/>
      <c r="D317" s="250"/>
      <c r="E317" s="250"/>
    </row>
    <row r="318" spans="2:6">
      <c r="B318" s="58" t="s">
        <v>494</v>
      </c>
      <c r="C318" s="55">
        <f>C314</f>
        <v>0.96648600000000007</v>
      </c>
      <c r="D318" s="58"/>
      <c r="E318" s="58"/>
    </row>
    <row r="319" spans="2:6">
      <c r="B319" s="58" t="s">
        <v>516</v>
      </c>
      <c r="C319" s="55">
        <f>C315</f>
        <v>1.0534176</v>
      </c>
      <c r="D319" s="58"/>
      <c r="E319" s="58"/>
    </row>
    <row r="320" spans="2:6" ht="30">
      <c r="B320" s="55" t="s">
        <v>251</v>
      </c>
      <c r="C320" s="55">
        <f>(1.0195+1.1112)*0.052</f>
        <v>0.1107964</v>
      </c>
      <c r="D320" s="59" t="s">
        <v>518</v>
      </c>
      <c r="E320" s="58"/>
    </row>
    <row r="322" spans="2:6">
      <c r="B322" s="259" t="s">
        <v>96</v>
      </c>
      <c r="C322" s="260"/>
      <c r="D322" s="41" t="s">
        <v>97</v>
      </c>
      <c r="E322" s="261" t="s">
        <v>87</v>
      </c>
      <c r="F322" s="261"/>
    </row>
    <row r="323" spans="2:6">
      <c r="B323" s="244"/>
      <c r="C323" s="254"/>
      <c r="D323" s="34">
        <v>0.10125000000000001</v>
      </c>
      <c r="E323" s="255" t="s">
        <v>88</v>
      </c>
      <c r="F323" s="255"/>
    </row>
    <row r="324" spans="2:6">
      <c r="B324" s="244"/>
      <c r="C324" s="254"/>
      <c r="D324" s="34">
        <v>0.15079000000000001</v>
      </c>
      <c r="E324" s="255" t="s">
        <v>89</v>
      </c>
      <c r="F324" s="256"/>
    </row>
    <row r="325" spans="2:6">
      <c r="B325" s="257" t="s">
        <v>90</v>
      </c>
      <c r="C325" s="258"/>
      <c r="D325" s="39">
        <v>0.126</v>
      </c>
      <c r="E325" s="211"/>
      <c r="F325" s="211"/>
    </row>
    <row r="327" spans="2:6">
      <c r="B327" s="259" t="s">
        <v>92</v>
      </c>
      <c r="C327" s="260"/>
      <c r="D327" s="40" t="s">
        <v>93</v>
      </c>
      <c r="E327" s="261" t="s">
        <v>87</v>
      </c>
      <c r="F327" s="261"/>
    </row>
    <row r="328" spans="2:6">
      <c r="B328" s="244"/>
      <c r="C328" s="254"/>
      <c r="D328" s="34">
        <v>1.44</v>
      </c>
      <c r="E328" s="255" t="s">
        <v>94</v>
      </c>
      <c r="F328" s="255"/>
    </row>
    <row r="329" spans="2:6">
      <c r="B329" s="244"/>
      <c r="C329" s="254"/>
      <c r="D329" s="34">
        <v>2.88</v>
      </c>
      <c r="E329" s="255" t="s">
        <v>95</v>
      </c>
      <c r="F329" s="256"/>
    </row>
    <row r="330" spans="2:6">
      <c r="B330" s="257" t="s">
        <v>90</v>
      </c>
      <c r="C330" s="258"/>
      <c r="D330" s="39">
        <v>2.16</v>
      </c>
      <c r="E330" s="211"/>
      <c r="F330" s="211"/>
    </row>
    <row r="332" spans="2:6">
      <c r="B332" s="259" t="s">
        <v>98</v>
      </c>
      <c r="C332" s="260"/>
      <c r="D332" s="40" t="s">
        <v>99</v>
      </c>
      <c r="E332" s="261" t="s">
        <v>87</v>
      </c>
      <c r="F332" s="261"/>
    </row>
    <row r="333" spans="2:6">
      <c r="B333" s="244"/>
      <c r="C333" s="254"/>
      <c r="D333" s="34">
        <v>11.7</v>
      </c>
      <c r="E333" s="255" t="s">
        <v>100</v>
      </c>
      <c r="F333" s="255"/>
    </row>
    <row r="334" spans="2:6">
      <c r="B334" s="244"/>
      <c r="C334" s="254"/>
      <c r="D334" s="34">
        <v>19.7</v>
      </c>
      <c r="E334" s="255" t="s">
        <v>100</v>
      </c>
      <c r="F334" s="256"/>
    </row>
    <row r="335" spans="2:6">
      <c r="B335" s="257" t="s">
        <v>90</v>
      </c>
      <c r="C335" s="258"/>
      <c r="D335" s="39">
        <v>15.7</v>
      </c>
      <c r="E335" s="211"/>
      <c r="F335" s="211"/>
    </row>
    <row r="338" spans="2:5">
      <c r="B338" s="251" t="s">
        <v>101</v>
      </c>
      <c r="C338" s="251"/>
      <c r="D338" s="251"/>
      <c r="E338" s="251"/>
    </row>
    <row r="339" spans="2:5">
      <c r="B339" s="42" t="s">
        <v>66</v>
      </c>
      <c r="C339" s="42" t="s">
        <v>491</v>
      </c>
      <c r="D339" s="42" t="s">
        <v>87</v>
      </c>
      <c r="E339" s="42" t="s">
        <v>102</v>
      </c>
    </row>
    <row r="340" spans="2:5" ht="30">
      <c r="B340" s="59" t="s">
        <v>103</v>
      </c>
      <c r="C340" s="55">
        <f>C185*0.95</f>
        <v>0.79134999999999989</v>
      </c>
      <c r="D340" s="59" t="s">
        <v>107</v>
      </c>
      <c r="E340" s="55"/>
    </row>
    <row r="341" spans="2:5" ht="30">
      <c r="B341" s="59" t="s">
        <v>105</v>
      </c>
      <c r="C341" s="55">
        <f>C185*0.05</f>
        <v>4.165E-2</v>
      </c>
      <c r="D341" s="59" t="s">
        <v>108</v>
      </c>
      <c r="E341" s="59" t="s">
        <v>106</v>
      </c>
    </row>
    <row r="342" spans="2:5">
      <c r="B342" s="59" t="s">
        <v>112</v>
      </c>
      <c r="C342" s="55">
        <f>C340*(0.126+2.16)</f>
        <v>1.8090260999999999</v>
      </c>
      <c r="D342" s="59" t="s">
        <v>519</v>
      </c>
      <c r="E342" s="55" t="s">
        <v>110</v>
      </c>
    </row>
    <row r="343" spans="2:5" ht="45">
      <c r="B343" s="60" t="s">
        <v>111</v>
      </c>
      <c r="C343" s="55">
        <f>C340*0.038</f>
        <v>3.0071299999999995E-2</v>
      </c>
      <c r="D343" s="59" t="s">
        <v>122</v>
      </c>
      <c r="E343" s="59" t="s">
        <v>113</v>
      </c>
    </row>
    <row r="344" spans="2:5">
      <c r="B344" s="55" t="s">
        <v>114</v>
      </c>
      <c r="C344" s="55">
        <f>C340*0.0102</f>
        <v>8.0717699999999989E-3</v>
      </c>
      <c r="D344" s="55" t="s">
        <v>115</v>
      </c>
      <c r="E344" s="55" t="s">
        <v>116</v>
      </c>
    </row>
    <row r="345" spans="2:5" ht="30">
      <c r="B345" s="59" t="s">
        <v>117</v>
      </c>
      <c r="C345" s="55">
        <f>0.95*C186</f>
        <v>1.8828999999999998</v>
      </c>
      <c r="D345" s="59" t="s">
        <v>118</v>
      </c>
      <c r="E345" s="59" t="s">
        <v>104</v>
      </c>
    </row>
    <row r="346" spans="2:5" ht="30">
      <c r="B346" s="59" t="s">
        <v>119</v>
      </c>
      <c r="C346" s="55">
        <f>0.05*C186</f>
        <v>9.9100000000000008E-2</v>
      </c>
      <c r="D346" s="59" t="s">
        <v>120</v>
      </c>
      <c r="E346" s="59" t="s">
        <v>106</v>
      </c>
    </row>
    <row r="347" spans="2:5">
      <c r="B347" s="59" t="s">
        <v>121</v>
      </c>
      <c r="C347" s="55">
        <f>C345*(0.126+2.16)</f>
        <v>4.3043093999999993</v>
      </c>
      <c r="D347" s="59" t="s">
        <v>520</v>
      </c>
      <c r="E347" s="55" t="s">
        <v>110</v>
      </c>
    </row>
    <row r="348" spans="2:5" ht="45">
      <c r="B348" s="55" t="s">
        <v>111</v>
      </c>
      <c r="C348" s="55">
        <f>C345*0.038</f>
        <v>7.1550199999999994E-2</v>
      </c>
      <c r="D348" s="59" t="s">
        <v>122</v>
      </c>
      <c r="E348" s="59" t="s">
        <v>113</v>
      </c>
    </row>
    <row r="349" spans="2:5">
      <c r="B349" s="58" t="s">
        <v>114</v>
      </c>
      <c r="C349" s="55">
        <f>C345*0.0102</f>
        <v>1.920558E-2</v>
      </c>
      <c r="D349" s="58" t="s">
        <v>115</v>
      </c>
      <c r="E349" s="55" t="s">
        <v>116</v>
      </c>
    </row>
    <row r="350" spans="2:5">
      <c r="B350" s="250" t="s">
        <v>123</v>
      </c>
      <c r="C350" s="250"/>
      <c r="D350" s="250"/>
      <c r="E350" s="250"/>
    </row>
    <row r="351" spans="2:5">
      <c r="B351" s="58" t="s">
        <v>124</v>
      </c>
      <c r="C351" s="55">
        <f>C340</f>
        <v>0.79134999999999989</v>
      </c>
      <c r="D351" s="58" t="s">
        <v>125</v>
      </c>
      <c r="E351" s="58"/>
    </row>
    <row r="352" spans="2:5">
      <c r="B352" s="58" t="s">
        <v>126</v>
      </c>
      <c r="C352" s="55">
        <f>C341</f>
        <v>4.165E-2</v>
      </c>
      <c r="D352" s="58" t="s">
        <v>125</v>
      </c>
      <c r="E352" s="58"/>
    </row>
    <row r="353" spans="2:5">
      <c r="B353" s="58" t="s">
        <v>127</v>
      </c>
      <c r="C353" s="55">
        <f>C345</f>
        <v>1.8828999999999998</v>
      </c>
      <c r="D353" s="58" t="s">
        <v>125</v>
      </c>
      <c r="E353" s="58"/>
    </row>
    <row r="354" spans="2:5">
      <c r="B354" s="58" t="s">
        <v>128</v>
      </c>
      <c r="C354" s="55">
        <f>C346</f>
        <v>9.9100000000000008E-2</v>
      </c>
      <c r="D354" s="58" t="s">
        <v>125</v>
      </c>
      <c r="E354" s="58"/>
    </row>
    <row r="356" spans="2:5">
      <c r="B356" s="251" t="s">
        <v>101</v>
      </c>
      <c r="C356" s="251"/>
      <c r="D356" s="251"/>
      <c r="E356" s="251"/>
    </row>
    <row r="357" spans="2:5">
      <c r="B357" s="42" t="s">
        <v>66</v>
      </c>
      <c r="C357" s="42" t="s">
        <v>253</v>
      </c>
      <c r="D357" s="42" t="s">
        <v>87</v>
      </c>
      <c r="E357" s="42" t="s">
        <v>102</v>
      </c>
    </row>
    <row r="358" spans="2:5" ht="30">
      <c r="B358" s="59" t="s">
        <v>129</v>
      </c>
      <c r="C358" s="55">
        <f>0.95*C192</f>
        <v>0.22324999999999998</v>
      </c>
      <c r="D358" s="59" t="s">
        <v>133</v>
      </c>
      <c r="E358" s="59" t="s">
        <v>104</v>
      </c>
    </row>
    <row r="359" spans="2:5" ht="30">
      <c r="B359" s="59" t="s">
        <v>130</v>
      </c>
      <c r="C359" s="55">
        <f>0.05*C192</f>
        <v>1.175E-2</v>
      </c>
      <c r="D359" s="59" t="s">
        <v>132</v>
      </c>
      <c r="E359" s="59" t="s">
        <v>106</v>
      </c>
    </row>
    <row r="360" spans="2:5">
      <c r="B360" s="59" t="s">
        <v>131</v>
      </c>
      <c r="C360" s="55">
        <f>(0.126+15.7)*C358</f>
        <v>3.5331544999999993</v>
      </c>
      <c r="D360" s="59" t="s">
        <v>522</v>
      </c>
      <c r="E360" s="55" t="s">
        <v>110</v>
      </c>
    </row>
    <row r="361" spans="2:5" ht="75">
      <c r="B361" s="55" t="s">
        <v>134</v>
      </c>
      <c r="C361" s="55">
        <f>0.03668*C358</f>
        <v>8.1888099999999978E-3</v>
      </c>
      <c r="D361" s="59" t="s">
        <v>135</v>
      </c>
      <c r="E361" s="59" t="s">
        <v>136</v>
      </c>
    </row>
    <row r="362" spans="2:5" ht="75">
      <c r="B362" s="55" t="s">
        <v>140</v>
      </c>
      <c r="C362" s="55">
        <f>0.00084*C358</f>
        <v>1.8752999999999999E-4</v>
      </c>
      <c r="D362" s="59" t="s">
        <v>141</v>
      </c>
      <c r="E362" s="59" t="s">
        <v>142</v>
      </c>
    </row>
    <row r="363" spans="2:5" ht="75">
      <c r="B363" s="55" t="s">
        <v>143</v>
      </c>
      <c r="C363" s="55">
        <f>0.04463*C358</f>
        <v>9.9636474999999988E-3</v>
      </c>
      <c r="D363" s="59" t="s">
        <v>144</v>
      </c>
      <c r="E363" s="59" t="s">
        <v>145</v>
      </c>
    </row>
    <row r="364" spans="2:5" ht="75">
      <c r="B364" s="55" t="s">
        <v>114</v>
      </c>
      <c r="C364" s="55">
        <f>0.0628*C358</f>
        <v>1.4020099999999997E-2</v>
      </c>
      <c r="D364" s="59" t="s">
        <v>146</v>
      </c>
      <c r="E364" s="59" t="s">
        <v>116</v>
      </c>
    </row>
    <row r="365" spans="2:5">
      <c r="B365" s="58" t="s">
        <v>137</v>
      </c>
      <c r="C365" s="55">
        <f>0.002*C358</f>
        <v>4.4649999999999996E-4</v>
      </c>
      <c r="D365" s="58" t="s">
        <v>138</v>
      </c>
      <c r="E365" s="55" t="s">
        <v>139</v>
      </c>
    </row>
    <row r="366" spans="2:5">
      <c r="B366" s="250" t="s">
        <v>123</v>
      </c>
      <c r="C366" s="250"/>
      <c r="D366" s="250"/>
      <c r="E366" s="250"/>
    </row>
    <row r="367" spans="2:5">
      <c r="B367" s="58" t="s">
        <v>147</v>
      </c>
      <c r="C367" s="55">
        <f>C358</f>
        <v>0.22324999999999998</v>
      </c>
      <c r="D367" s="58" t="s">
        <v>125</v>
      </c>
      <c r="E367" s="58"/>
    </row>
    <row r="368" spans="2:5">
      <c r="B368" s="58" t="s">
        <v>148</v>
      </c>
      <c r="C368" s="55">
        <f>C359</f>
        <v>1.175E-2</v>
      </c>
      <c r="D368" s="58" t="s">
        <v>125</v>
      </c>
      <c r="E368" s="58"/>
    </row>
    <row r="370" spans="2:5">
      <c r="B370" s="38" t="s">
        <v>521</v>
      </c>
    </row>
    <row r="372" spans="2:5">
      <c r="B372" s="251" t="s">
        <v>101</v>
      </c>
      <c r="C372" s="251"/>
      <c r="D372" s="251"/>
      <c r="E372" s="251"/>
    </row>
    <row r="373" spans="2:5">
      <c r="B373" s="42" t="s">
        <v>66</v>
      </c>
      <c r="C373" s="42" t="s">
        <v>517</v>
      </c>
      <c r="D373" s="42" t="s">
        <v>87</v>
      </c>
      <c r="E373" s="42" t="s">
        <v>102</v>
      </c>
    </row>
    <row r="374" spans="2:5" ht="45">
      <c r="B374" s="59" t="s">
        <v>523</v>
      </c>
      <c r="C374" s="55">
        <f>C320</f>
        <v>0.1107964</v>
      </c>
      <c r="D374" s="59" t="s">
        <v>513</v>
      </c>
      <c r="E374" s="24" t="s">
        <v>525</v>
      </c>
    </row>
    <row r="375" spans="2:5">
      <c r="B375" s="250" t="s">
        <v>123</v>
      </c>
      <c r="C375" s="250"/>
      <c r="D375" s="250"/>
      <c r="E375" s="250"/>
    </row>
    <row r="376" spans="2:5">
      <c r="B376" s="58" t="s">
        <v>524</v>
      </c>
      <c r="C376" s="55">
        <f>C374</f>
        <v>0.1107964</v>
      </c>
      <c r="D376" s="58"/>
      <c r="E376" s="58"/>
    </row>
    <row r="378" spans="2:5">
      <c r="B378" s="38" t="s">
        <v>176</v>
      </c>
    </row>
    <row r="380" spans="2:5">
      <c r="B380" s="249" t="s">
        <v>531</v>
      </c>
      <c r="C380" s="251"/>
      <c r="D380" s="251"/>
      <c r="E380" s="251"/>
    </row>
    <row r="381" spans="2:5">
      <c r="B381" s="1" t="s">
        <v>162</v>
      </c>
      <c r="C381" s="1" t="s">
        <v>177</v>
      </c>
      <c r="D381" s="58" t="s">
        <v>81</v>
      </c>
      <c r="E381" s="58" t="s">
        <v>175</v>
      </c>
    </row>
    <row r="382" spans="2:5">
      <c r="B382" s="1" t="s">
        <v>163</v>
      </c>
      <c r="C382" s="113">
        <v>1.0499999999999999E-5</v>
      </c>
      <c r="D382" s="57">
        <v>2.5474999999999997E-6</v>
      </c>
      <c r="E382" s="44">
        <v>1.2376152882205513E-9</v>
      </c>
    </row>
    <row r="383" spans="2:5">
      <c r="B383" s="1" t="s">
        <v>164</v>
      </c>
      <c r="C383" s="114">
        <v>405</v>
      </c>
      <c r="D383" s="57">
        <v>7.4266666666666659</v>
      </c>
      <c r="E383" s="44">
        <v>9.346012531328321E-2</v>
      </c>
    </row>
    <row r="384" spans="2:5">
      <c r="B384" s="1" t="s">
        <v>165</v>
      </c>
      <c r="C384" s="114">
        <v>0.11600000000000001</v>
      </c>
      <c r="D384" s="57">
        <v>1.0983333333333333E-3</v>
      </c>
      <c r="E384" s="44">
        <v>1.7452694235588974E-5</v>
      </c>
    </row>
    <row r="385" spans="2:5">
      <c r="B385" s="1" t="s">
        <v>166</v>
      </c>
      <c r="C385" s="114">
        <v>8.8100000000000001E-3</v>
      </c>
      <c r="D385" s="57">
        <v>2.253333333333333E-4</v>
      </c>
      <c r="E385" s="44">
        <v>1.8730162907268171E-6</v>
      </c>
    </row>
    <row r="386" spans="2:5">
      <c r="B386" s="1" t="s">
        <v>167</v>
      </c>
      <c r="C386" s="114">
        <v>0.1845</v>
      </c>
      <c r="D386" s="57">
        <v>1.6758333333333334E-3</v>
      </c>
      <c r="E386" s="44">
        <v>1.5553157894736841E-5</v>
      </c>
    </row>
    <row r="387" spans="2:5">
      <c r="B387" s="1" t="s">
        <v>168</v>
      </c>
      <c r="C387" s="114">
        <v>37.14</v>
      </c>
      <c r="D387" s="57">
        <v>0.72699999999999987</v>
      </c>
      <c r="E387" s="44">
        <v>6.4535213032581463E-3</v>
      </c>
    </row>
    <row r="388" spans="2:5">
      <c r="B388" s="1" t="s">
        <v>169</v>
      </c>
      <c r="C388" s="114">
        <v>37.15</v>
      </c>
      <c r="D388" s="57">
        <v>0.72633333333333328</v>
      </c>
      <c r="E388" s="44">
        <v>6.5381303258145364E-3</v>
      </c>
    </row>
    <row r="389" spans="2:5">
      <c r="B389" s="1" t="s">
        <v>170</v>
      </c>
      <c r="C389" s="114">
        <v>50</v>
      </c>
      <c r="D389" s="57">
        <v>2.9199999999999997E-2</v>
      </c>
      <c r="E389" s="44">
        <v>1.882967418546366E-4</v>
      </c>
    </row>
    <row r="390" spans="2:5">
      <c r="B390" s="1" t="s">
        <v>171</v>
      </c>
      <c r="C390" s="114">
        <v>62700</v>
      </c>
      <c r="D390" s="57">
        <v>86.1</v>
      </c>
      <c r="E390" s="44">
        <v>0.59533182957393482</v>
      </c>
    </row>
    <row r="391" spans="2:5">
      <c r="B391" s="1" t="s">
        <v>172</v>
      </c>
      <c r="C391" s="114">
        <v>6.0300000000000001E-11</v>
      </c>
      <c r="D391" s="57">
        <v>2.8349999999999998E-11</v>
      </c>
      <c r="E391" s="44">
        <v>1.0530538847117795E-14</v>
      </c>
    </row>
    <row r="392" spans="2:5">
      <c r="B392" s="1" t="s">
        <v>173</v>
      </c>
      <c r="C392" s="114">
        <v>6.9100000000000003E-3</v>
      </c>
      <c r="D392" s="57">
        <v>7.5116666666666658E-5</v>
      </c>
      <c r="E392" s="44">
        <v>1.608404761904762E-6</v>
      </c>
    </row>
    <row r="393" spans="2:5">
      <c r="B393" s="1" t="s">
        <v>174</v>
      </c>
      <c r="C393" s="114">
        <v>6.9400000000000003E-2</v>
      </c>
      <c r="D393" s="57">
        <v>1.2308333333333331E-3</v>
      </c>
      <c r="E393" s="44">
        <v>7.1843157894736846E-5</v>
      </c>
    </row>
    <row r="395" spans="2:5">
      <c r="B395" s="249" t="s">
        <v>532</v>
      </c>
      <c r="C395" s="251"/>
      <c r="D395" s="251"/>
      <c r="E395" s="251"/>
    </row>
    <row r="396" spans="2:5">
      <c r="B396" s="1" t="s">
        <v>162</v>
      </c>
      <c r="C396" s="1" t="s">
        <v>177</v>
      </c>
      <c r="D396" s="58" t="s">
        <v>81</v>
      </c>
      <c r="E396" s="58" t="s">
        <v>175</v>
      </c>
    </row>
    <row r="397" spans="2:5">
      <c r="B397" s="1" t="s">
        <v>163</v>
      </c>
      <c r="C397" s="44">
        <v>1.11E-8</v>
      </c>
      <c r="D397" s="57">
        <v>3.0667124555797766E-7</v>
      </c>
      <c r="E397" s="44">
        <v>1.0336265607264472E-10</v>
      </c>
    </row>
    <row r="398" spans="2:5">
      <c r="B398" s="1" t="s">
        <v>164</v>
      </c>
      <c r="C398" s="44">
        <v>6.91</v>
      </c>
      <c r="D398" s="57">
        <v>4.0200600232926211</v>
      </c>
      <c r="E398" s="44">
        <v>7.8022133938706016E-3</v>
      </c>
    </row>
    <row r="399" spans="2:5">
      <c r="B399" s="1" t="s">
        <v>165</v>
      </c>
      <c r="C399" s="44">
        <v>1.65E-3</v>
      </c>
      <c r="D399" s="57">
        <v>5.7934198345626655E-4</v>
      </c>
      <c r="E399" s="44">
        <v>1.4537457434733258E-6</v>
      </c>
    </row>
    <row r="400" spans="2:5">
      <c r="B400" s="1" t="s">
        <v>166</v>
      </c>
      <c r="C400" s="44">
        <v>1.64E-4</v>
      </c>
      <c r="D400" s="57">
        <v>1.1066831904918326E-4</v>
      </c>
      <c r="E400" s="44">
        <v>1.5604426787741203E-7</v>
      </c>
    </row>
    <row r="401" spans="2:6">
      <c r="B401" s="1" t="s">
        <v>167</v>
      </c>
      <c r="C401" s="44">
        <v>9.7900000000000005E-4</v>
      </c>
      <c r="D401" s="57">
        <v>7.7334488010272629E-4</v>
      </c>
      <c r="E401" s="44">
        <v>1.2937003405221339E-6</v>
      </c>
    </row>
    <row r="402" spans="2:6">
      <c r="B402" s="1" t="s">
        <v>168</v>
      </c>
      <c r="C402" s="44">
        <v>0.77300000000000002</v>
      </c>
      <c r="D402" s="57">
        <v>0.40467270881237488</v>
      </c>
      <c r="E402" s="44">
        <v>5.3881952326901249E-4</v>
      </c>
    </row>
    <row r="403" spans="2:6">
      <c r="B403" s="1" t="s">
        <v>169</v>
      </c>
      <c r="C403" s="44">
        <v>0.77300000000000002</v>
      </c>
      <c r="D403" s="57">
        <v>0.40467270881237488</v>
      </c>
      <c r="E403" s="44">
        <v>5.4615493757094208E-4</v>
      </c>
    </row>
    <row r="404" spans="2:6">
      <c r="B404" s="1" t="s">
        <v>170</v>
      </c>
      <c r="C404" s="44">
        <v>7.1999999999999995E-2</v>
      </c>
      <c r="D404" s="57">
        <v>1.5800235912443634E-2</v>
      </c>
      <c r="E404" s="44">
        <v>1.56711123723042E-5</v>
      </c>
    </row>
    <row r="405" spans="2:6">
      <c r="B405" s="1" t="s">
        <v>171</v>
      </c>
      <c r="C405" s="44">
        <v>40.4</v>
      </c>
      <c r="D405" s="57">
        <v>47.600710723564369</v>
      </c>
      <c r="E405" s="44">
        <v>4.9747446083995457E-2</v>
      </c>
    </row>
    <row r="406" spans="2:6">
      <c r="B406" s="1" t="s">
        <v>172</v>
      </c>
      <c r="C406" s="44">
        <v>6.4699999999999997E-13</v>
      </c>
      <c r="D406" s="57">
        <v>1.6066906560754917E-11</v>
      </c>
      <c r="E406" s="44">
        <v>8.8024971623155496E-16</v>
      </c>
    </row>
    <row r="407" spans="2:6">
      <c r="B407" s="1" t="s">
        <v>173</v>
      </c>
      <c r="C407" s="44">
        <v>2.31E-4</v>
      </c>
      <c r="D407" s="57">
        <v>3.86005763430585E-5</v>
      </c>
      <c r="E407" s="44">
        <v>1.3403802497162316E-7</v>
      </c>
    </row>
    <row r="408" spans="2:6">
      <c r="B408" s="1" t="s">
        <v>174</v>
      </c>
      <c r="C408" s="44">
        <v>5.62E-4</v>
      </c>
      <c r="D408" s="57">
        <v>5.7067518738614976E-4</v>
      </c>
      <c r="E408" s="44">
        <v>5.9950340522133935E-6</v>
      </c>
    </row>
    <row r="410" spans="2:6">
      <c r="B410" s="249" t="s">
        <v>528</v>
      </c>
      <c r="C410" s="249"/>
      <c r="D410" s="249"/>
      <c r="E410" s="249"/>
      <c r="F410" s="249"/>
    </row>
    <row r="411" spans="2:6">
      <c r="B411" s="115" t="s">
        <v>162</v>
      </c>
      <c r="C411" s="115" t="s">
        <v>177</v>
      </c>
      <c r="D411" s="58" t="s">
        <v>81</v>
      </c>
      <c r="E411" s="58" t="s">
        <v>175</v>
      </c>
      <c r="F411" s="1" t="s">
        <v>288</v>
      </c>
    </row>
    <row r="412" spans="2:6">
      <c r="B412" s="1" t="s">
        <v>163</v>
      </c>
      <c r="C412" s="57">
        <v>1.1346699999999999E-4</v>
      </c>
      <c r="D412" s="57">
        <v>2.8738823024054981E-7</v>
      </c>
      <c r="E412" s="44">
        <v>1.4460936426116838E-9</v>
      </c>
      <c r="F412" s="116">
        <v>1.8E-7</v>
      </c>
    </row>
    <row r="413" spans="2:6">
      <c r="B413" s="1" t="s">
        <v>164</v>
      </c>
      <c r="C413" s="57">
        <v>98.300000000000011</v>
      </c>
      <c r="D413" s="57">
        <v>3.7250640034364264</v>
      </c>
      <c r="E413" s="44">
        <v>0.10799939862542955</v>
      </c>
      <c r="F413" s="116">
        <v>1.88</v>
      </c>
    </row>
    <row r="414" spans="2:6">
      <c r="B414" s="1" t="s">
        <v>165</v>
      </c>
      <c r="C414" s="57">
        <v>1.6309999999999998E-2</v>
      </c>
      <c r="D414" s="57">
        <v>5.4182749140893464E-4</v>
      </c>
      <c r="E414" s="44">
        <v>1.9128707044673542E-5</v>
      </c>
      <c r="F414" s="116">
        <v>2.7399999999999999E-4</v>
      </c>
    </row>
    <row r="415" spans="2:6">
      <c r="B415" s="1" t="s">
        <v>166</v>
      </c>
      <c r="C415" s="57">
        <v>1.0809999999999999E-3</v>
      </c>
      <c r="D415" s="57">
        <v>1.0342315292096219E-4</v>
      </c>
      <c r="E415" s="44">
        <v>2.1142255154639176E-5</v>
      </c>
      <c r="F415" s="116">
        <v>5.3699999999999997E-5</v>
      </c>
    </row>
    <row r="416" spans="2:6">
      <c r="B416" s="1" t="s">
        <v>167</v>
      </c>
      <c r="C416" s="57">
        <v>2.503E-2</v>
      </c>
      <c r="D416" s="57">
        <v>7.1847057560137453E-4</v>
      </c>
      <c r="E416" s="44">
        <v>3.4413367697594504E-5</v>
      </c>
      <c r="F416" s="116">
        <v>3.86E-4</v>
      </c>
    </row>
    <row r="417" spans="2:10">
      <c r="B417" s="1" t="s">
        <v>168</v>
      </c>
      <c r="C417" s="57">
        <v>3.83</v>
      </c>
      <c r="D417" s="57">
        <v>0.36976065292096222</v>
      </c>
      <c r="E417" s="44">
        <v>7.4501280068728524E-3</v>
      </c>
      <c r="F417" s="116">
        <v>0.186</v>
      </c>
    </row>
    <row r="418" spans="2:10">
      <c r="B418" s="1" t="s">
        <v>169</v>
      </c>
      <c r="C418" s="57">
        <v>3.83</v>
      </c>
      <c r="D418" s="57">
        <v>0.36976065292096222</v>
      </c>
      <c r="E418" s="44">
        <v>7.5416529209622E-3</v>
      </c>
      <c r="F418" s="116">
        <v>0.186</v>
      </c>
    </row>
    <row r="419" spans="2:10">
      <c r="B419" s="1" t="s">
        <v>170</v>
      </c>
      <c r="C419" s="57">
        <v>0.13740000000000002</v>
      </c>
      <c r="D419" s="57">
        <v>1.4827036082474225E-2</v>
      </c>
      <c r="E419" s="44">
        <v>2.2057504295532645E-4</v>
      </c>
      <c r="F419" s="116">
        <v>7.4400000000000004E-3</v>
      </c>
    </row>
    <row r="420" spans="2:10">
      <c r="B420" s="1" t="s">
        <v>171</v>
      </c>
      <c r="C420" s="57">
        <v>196.4</v>
      </c>
      <c r="D420" s="57">
        <v>44.664158075601378</v>
      </c>
      <c r="E420" s="44">
        <v>0.71480957903780074</v>
      </c>
      <c r="F420" s="116">
        <v>22.3</v>
      </c>
    </row>
    <row r="421" spans="2:10">
      <c r="B421" s="1" t="s">
        <v>172</v>
      </c>
      <c r="C421" s="57">
        <v>2.8209999999999999E-11</v>
      </c>
      <c r="D421" s="57">
        <v>1.5101610824742272E-11</v>
      </c>
      <c r="E421" s="44">
        <v>1.2447388316151203E-14</v>
      </c>
      <c r="F421" s="116">
        <v>7.4699999999999995E-12</v>
      </c>
    </row>
    <row r="422" spans="2:10">
      <c r="B422" s="1" t="s">
        <v>173</v>
      </c>
      <c r="C422" s="57">
        <v>1.1949999999999999E-3</v>
      </c>
      <c r="D422" s="57">
        <v>3.6060816151202756E-5</v>
      </c>
      <c r="E422" s="44">
        <v>1.7481258591065291E-6</v>
      </c>
      <c r="F422" s="116">
        <v>1.8300000000000001E-5</v>
      </c>
    </row>
    <row r="423" spans="2:10">
      <c r="B423" s="1" t="s">
        <v>174</v>
      </c>
      <c r="C423" s="57">
        <v>1.072E-2</v>
      </c>
      <c r="D423" s="57">
        <v>5.0979377147766325E-4</v>
      </c>
      <c r="E423" s="44">
        <v>1.5833810137457047E-4</v>
      </c>
      <c r="F423" s="116">
        <v>2.7500000000000002E-4</v>
      </c>
    </row>
    <row r="424" spans="2:10" ht="15.75" thickBot="1"/>
    <row r="425" spans="2:10" ht="15.75" thickBot="1">
      <c r="B425" s="33" t="s">
        <v>178</v>
      </c>
      <c r="C425" s="32" t="s">
        <v>187</v>
      </c>
    </row>
    <row r="427" spans="2:10">
      <c r="B427" s="251" t="s">
        <v>552</v>
      </c>
      <c r="C427" s="251"/>
      <c r="D427" s="251"/>
      <c r="E427" s="251"/>
      <c r="F427" s="251"/>
      <c r="G427" s="251"/>
      <c r="H427" s="251"/>
      <c r="I427" s="251"/>
      <c r="J427" s="251"/>
    </row>
    <row r="428" spans="2:10">
      <c r="B428" s="251" t="s">
        <v>553</v>
      </c>
      <c r="C428" s="251"/>
      <c r="D428" s="251"/>
      <c r="E428" s="251"/>
      <c r="F428" s="251"/>
      <c r="G428" s="251"/>
      <c r="H428" s="251"/>
      <c r="I428" s="251"/>
      <c r="J428" s="251"/>
    </row>
    <row r="429" spans="2:10">
      <c r="B429" s="251" t="s">
        <v>554</v>
      </c>
      <c r="C429" s="251"/>
      <c r="D429" s="251"/>
      <c r="E429" s="251"/>
      <c r="F429" s="251"/>
      <c r="G429" s="251"/>
      <c r="H429" s="251"/>
      <c r="I429" s="251"/>
      <c r="J429" s="251"/>
    </row>
    <row r="430" spans="2:10">
      <c r="B430" s="42" t="s">
        <v>179</v>
      </c>
      <c r="C430" s="42" t="s">
        <v>33</v>
      </c>
      <c r="D430" s="42" t="s">
        <v>34</v>
      </c>
      <c r="E430" s="42" t="s">
        <v>35</v>
      </c>
      <c r="F430" s="42" t="s">
        <v>50</v>
      </c>
      <c r="G430" s="252" t="s">
        <v>196</v>
      </c>
      <c r="H430" s="253"/>
      <c r="I430" s="119" t="s">
        <v>189</v>
      </c>
      <c r="J430" s="42" t="s">
        <v>190</v>
      </c>
    </row>
    <row r="431" spans="2:10" ht="116.25" customHeight="1">
      <c r="B431" s="34" t="s">
        <v>2</v>
      </c>
      <c r="C431" s="36" t="s">
        <v>194</v>
      </c>
      <c r="D431" s="36" t="s">
        <v>289</v>
      </c>
      <c r="E431" s="36" t="s">
        <v>565</v>
      </c>
      <c r="F431" s="37"/>
      <c r="G431" s="45" t="s">
        <v>786</v>
      </c>
      <c r="H431" s="45" t="s">
        <v>787</v>
      </c>
      <c r="I431" s="120" t="s">
        <v>556</v>
      </c>
      <c r="J431" s="45" t="s">
        <v>566</v>
      </c>
    </row>
    <row r="432" spans="2:10" ht="30">
      <c r="B432" s="34" t="s">
        <v>180</v>
      </c>
      <c r="C432" s="36" t="s">
        <v>567</v>
      </c>
      <c r="D432" s="36" t="s">
        <v>200</v>
      </c>
      <c r="E432" s="36"/>
      <c r="F432" s="34"/>
      <c r="G432" s="52" t="s">
        <v>708</v>
      </c>
      <c r="H432" s="53" t="s">
        <v>709</v>
      </c>
      <c r="I432" s="120">
        <v>0</v>
      </c>
      <c r="J432" s="36" t="s">
        <v>295</v>
      </c>
    </row>
    <row r="433" spans="2:10" ht="87" customHeight="1">
      <c r="B433" s="34" t="s">
        <v>181</v>
      </c>
      <c r="C433" s="36" t="s">
        <v>569</v>
      </c>
      <c r="D433" s="36" t="s">
        <v>710</v>
      </c>
      <c r="E433" s="36" t="s">
        <v>711</v>
      </c>
      <c r="F433" s="36" t="s">
        <v>551</v>
      </c>
      <c r="G433" s="52" t="s">
        <v>788</v>
      </c>
      <c r="H433" s="53" t="s">
        <v>789</v>
      </c>
      <c r="I433" s="120" t="s">
        <v>555</v>
      </c>
      <c r="J433" s="36" t="s">
        <v>571</v>
      </c>
    </row>
    <row r="434" spans="2:10" ht="81.75" customHeight="1">
      <c r="B434" s="37" t="s">
        <v>182</v>
      </c>
      <c r="C434" s="36" t="s">
        <v>297</v>
      </c>
      <c r="D434" s="36" t="s">
        <v>572</v>
      </c>
      <c r="E434" s="36" t="s">
        <v>298</v>
      </c>
      <c r="F434" s="36" t="s">
        <v>299</v>
      </c>
      <c r="G434" s="36" t="s">
        <v>712</v>
      </c>
      <c r="H434" s="36" t="s">
        <v>713</v>
      </c>
      <c r="I434" s="120">
        <v>1</v>
      </c>
      <c r="J434" s="45" t="s">
        <v>626</v>
      </c>
    </row>
    <row r="435" spans="2:10" ht="105">
      <c r="B435" s="34" t="s">
        <v>183</v>
      </c>
      <c r="C435" s="36" t="s">
        <v>297</v>
      </c>
      <c r="D435" s="36" t="s">
        <v>573</v>
      </c>
      <c r="E435" s="36" t="s">
        <v>298</v>
      </c>
      <c r="F435" s="36" t="s">
        <v>299</v>
      </c>
      <c r="G435" s="36" t="s">
        <v>790</v>
      </c>
      <c r="H435" s="36" t="s">
        <v>791</v>
      </c>
      <c r="I435" s="120" t="s">
        <v>714</v>
      </c>
      <c r="J435" s="45" t="s">
        <v>715</v>
      </c>
    </row>
    <row r="436" spans="2:10" ht="169.5" customHeight="1">
      <c r="B436" s="34" t="s">
        <v>184</v>
      </c>
      <c r="C436" s="36" t="s">
        <v>297</v>
      </c>
      <c r="D436" s="36" t="s">
        <v>574</v>
      </c>
      <c r="E436" s="36" t="s">
        <v>298</v>
      </c>
      <c r="F436" s="36" t="s">
        <v>299</v>
      </c>
      <c r="G436" s="36" t="s">
        <v>717</v>
      </c>
      <c r="H436" s="36" t="s">
        <v>718</v>
      </c>
      <c r="I436" s="120" t="s">
        <v>719</v>
      </c>
      <c r="J436" s="144" t="s">
        <v>720</v>
      </c>
    </row>
    <row r="443" spans="2:10">
      <c r="C443" s="224"/>
      <c r="D443" s="224"/>
    </row>
    <row r="444" spans="2:10">
      <c r="C444" s="224"/>
      <c r="D444" s="224"/>
    </row>
    <row r="445" spans="2:10">
      <c r="C445" s="224"/>
      <c r="D445" s="224"/>
    </row>
  </sheetData>
  <mergeCells count="294">
    <mergeCell ref="B209:C209"/>
    <mergeCell ref="B211:C211"/>
    <mergeCell ref="B167:B168"/>
    <mergeCell ref="C167:C168"/>
    <mergeCell ref="D167:D168"/>
    <mergeCell ref="E167:E168"/>
    <mergeCell ref="F167:F168"/>
    <mergeCell ref="G162:H162"/>
    <mergeCell ref="B163:B165"/>
    <mergeCell ref="C163:C165"/>
    <mergeCell ref="D163:D165"/>
    <mergeCell ref="E163:E165"/>
    <mergeCell ref="F163:F165"/>
    <mergeCell ref="B206:C206"/>
    <mergeCell ref="B207:C207"/>
    <mergeCell ref="B208:C208"/>
    <mergeCell ref="C443:C445"/>
    <mergeCell ref="D443:D445"/>
    <mergeCell ref="B428:J428"/>
    <mergeCell ref="B427:J427"/>
    <mergeCell ref="E211:F211"/>
    <mergeCell ref="B198:E198"/>
    <mergeCell ref="B219:C219"/>
    <mergeCell ref="E219:F219"/>
    <mergeCell ref="B213:C213"/>
    <mergeCell ref="E213:F213"/>
    <mergeCell ref="B214:C214"/>
    <mergeCell ref="E214:F214"/>
    <mergeCell ref="B275:E275"/>
    <mergeCell ref="B281:E281"/>
    <mergeCell ref="E206:F206"/>
    <mergeCell ref="E207:F207"/>
    <mergeCell ref="E208:F208"/>
    <mergeCell ref="E209:F209"/>
    <mergeCell ref="B204:C204"/>
    <mergeCell ref="E204:F204"/>
    <mergeCell ref="B205:C205"/>
    <mergeCell ref="E205:F205"/>
    <mergeCell ref="B210:C210"/>
    <mergeCell ref="E210:F210"/>
    <mergeCell ref="B222:C222"/>
    <mergeCell ref="E222:F222"/>
    <mergeCell ref="B223:C223"/>
    <mergeCell ref="E223:F223"/>
    <mergeCell ref="B224:C224"/>
    <mergeCell ref="E224:F224"/>
    <mergeCell ref="B225:C225"/>
    <mergeCell ref="E225:F225"/>
    <mergeCell ref="E226:F226"/>
    <mergeCell ref="B215:C215"/>
    <mergeCell ref="E215:F215"/>
    <mergeCell ref="B216:C216"/>
    <mergeCell ref="E216:F216"/>
    <mergeCell ref="B218:C218"/>
    <mergeCell ref="E218:F218"/>
    <mergeCell ref="E220:F220"/>
    <mergeCell ref="B221:C221"/>
    <mergeCell ref="E221:F221"/>
    <mergeCell ref="B220:C220"/>
    <mergeCell ref="C42:M42"/>
    <mergeCell ref="B23:C23"/>
    <mergeCell ref="D23:E23"/>
    <mergeCell ref="B27:B30"/>
    <mergeCell ref="C27:C30"/>
    <mergeCell ref="B35:M35"/>
    <mergeCell ref="C41:M41"/>
    <mergeCell ref="C40:M40"/>
    <mergeCell ref="C43:M43"/>
    <mergeCell ref="B47:C47"/>
    <mergeCell ref="E47:F47"/>
    <mergeCell ref="E48:F48"/>
    <mergeCell ref="E49:F49"/>
    <mergeCell ref="B48:C48"/>
    <mergeCell ref="B49:C49"/>
    <mergeCell ref="B50:C50"/>
    <mergeCell ref="B52:C52"/>
    <mergeCell ref="E52:F52"/>
    <mergeCell ref="B53:C53"/>
    <mergeCell ref="E53:F53"/>
    <mergeCell ref="E50:F50"/>
    <mergeCell ref="B54:C54"/>
    <mergeCell ref="E54:F54"/>
    <mergeCell ref="B55:C55"/>
    <mergeCell ref="E55:F55"/>
    <mergeCell ref="B57:C57"/>
    <mergeCell ref="E57:F57"/>
    <mergeCell ref="B63:E63"/>
    <mergeCell ref="B75:E75"/>
    <mergeCell ref="B81:E81"/>
    <mergeCell ref="B91:E91"/>
    <mergeCell ref="B58:C58"/>
    <mergeCell ref="E58:F58"/>
    <mergeCell ref="B59:C59"/>
    <mergeCell ref="E59:F59"/>
    <mergeCell ref="B60:C60"/>
    <mergeCell ref="E60:F60"/>
    <mergeCell ref="B149:J149"/>
    <mergeCell ref="B161:J161"/>
    <mergeCell ref="G150:H150"/>
    <mergeCell ref="B98:E98"/>
    <mergeCell ref="B102:E102"/>
    <mergeCell ref="B106:E106"/>
    <mergeCell ref="B109:E109"/>
    <mergeCell ref="B115:E115"/>
    <mergeCell ref="B130:E130"/>
    <mergeCell ref="C151:C153"/>
    <mergeCell ref="D151:D153"/>
    <mergeCell ref="E151:E153"/>
    <mergeCell ref="F151:F153"/>
    <mergeCell ref="J151:J153"/>
    <mergeCell ref="B151:B153"/>
    <mergeCell ref="I151:I153"/>
    <mergeCell ref="J167:J168"/>
    <mergeCell ref="I163:I165"/>
    <mergeCell ref="I167:I168"/>
    <mergeCell ref="B194:E194"/>
    <mergeCell ref="B173:M173"/>
    <mergeCell ref="B180:E180"/>
    <mergeCell ref="B184:E184"/>
    <mergeCell ref="B188:E188"/>
    <mergeCell ref="B191:E191"/>
    <mergeCell ref="J163:J165"/>
    <mergeCell ref="E229:F229"/>
    <mergeCell ref="E230:F230"/>
    <mergeCell ref="B226:C226"/>
    <mergeCell ref="B227:C227"/>
    <mergeCell ref="B228:C228"/>
    <mergeCell ref="B229:C229"/>
    <mergeCell ref="B230:C230"/>
    <mergeCell ref="B239:C239"/>
    <mergeCell ref="E239:F239"/>
    <mergeCell ref="B231:C231"/>
    <mergeCell ref="E231:F231"/>
    <mergeCell ref="B232:C232"/>
    <mergeCell ref="E232:F232"/>
    <mergeCell ref="E227:F227"/>
    <mergeCell ref="E228:F228"/>
    <mergeCell ref="B240:C240"/>
    <mergeCell ref="E240:F240"/>
    <mergeCell ref="B241:C241"/>
    <mergeCell ref="E241:F241"/>
    <mergeCell ref="B242:C242"/>
    <mergeCell ref="E242:F242"/>
    <mergeCell ref="B234:C234"/>
    <mergeCell ref="E234:F234"/>
    <mergeCell ref="B235:C235"/>
    <mergeCell ref="E235:F235"/>
    <mergeCell ref="B236:C236"/>
    <mergeCell ref="E236:F236"/>
    <mergeCell ref="B237:C237"/>
    <mergeCell ref="E237:F237"/>
    <mergeCell ref="B238:C238"/>
    <mergeCell ref="E238:F238"/>
    <mergeCell ref="B245:C245"/>
    <mergeCell ref="E245:F245"/>
    <mergeCell ref="B246:C246"/>
    <mergeCell ref="E246:F246"/>
    <mergeCell ref="B247:C247"/>
    <mergeCell ref="E247:F247"/>
    <mergeCell ref="B243:C243"/>
    <mergeCell ref="E243:F243"/>
    <mergeCell ref="B248:C248"/>
    <mergeCell ref="E248:F248"/>
    <mergeCell ref="B249:C249"/>
    <mergeCell ref="E249:F249"/>
    <mergeCell ref="B250:C250"/>
    <mergeCell ref="E250:F250"/>
    <mergeCell ref="B251:C251"/>
    <mergeCell ref="E251:F251"/>
    <mergeCell ref="B252:C252"/>
    <mergeCell ref="E252:F252"/>
    <mergeCell ref="B253:C253"/>
    <mergeCell ref="E253:F253"/>
    <mergeCell ref="B254:C254"/>
    <mergeCell ref="E254:F254"/>
    <mergeCell ref="B255:C255"/>
    <mergeCell ref="E255:F255"/>
    <mergeCell ref="B256:C256"/>
    <mergeCell ref="E256:F256"/>
    <mergeCell ref="B257:C257"/>
    <mergeCell ref="E257:F257"/>
    <mergeCell ref="B259:C259"/>
    <mergeCell ref="E259:F259"/>
    <mergeCell ref="B260:C260"/>
    <mergeCell ref="E260:F260"/>
    <mergeCell ref="E258:F258"/>
    <mergeCell ref="B262:C262"/>
    <mergeCell ref="E262:F262"/>
    <mergeCell ref="B263:C263"/>
    <mergeCell ref="E263:F263"/>
    <mergeCell ref="B264:C264"/>
    <mergeCell ref="E264:F264"/>
    <mergeCell ref="B265:C265"/>
    <mergeCell ref="E265:F265"/>
    <mergeCell ref="B269:C269"/>
    <mergeCell ref="B270:C270"/>
    <mergeCell ref="B271:C271"/>
    <mergeCell ref="E269:F269"/>
    <mergeCell ref="E270:F270"/>
    <mergeCell ref="E271:F271"/>
    <mergeCell ref="B273:C273"/>
    <mergeCell ref="E273:F273"/>
    <mergeCell ref="B267:C267"/>
    <mergeCell ref="E267:F267"/>
    <mergeCell ref="B268:C268"/>
    <mergeCell ref="E268:F268"/>
    <mergeCell ref="B272:C272"/>
    <mergeCell ref="E272:F272"/>
    <mergeCell ref="B286:F286"/>
    <mergeCell ref="B287:C287"/>
    <mergeCell ref="E287:F287"/>
    <mergeCell ref="B288:C288"/>
    <mergeCell ref="E288:F288"/>
    <mergeCell ref="B289:C289"/>
    <mergeCell ref="E289:F289"/>
    <mergeCell ref="B290:C290"/>
    <mergeCell ref="E290:F290"/>
    <mergeCell ref="E301:F301"/>
    <mergeCell ref="E300:F300"/>
    <mergeCell ref="E299:F299"/>
    <mergeCell ref="E298:F298"/>
    <mergeCell ref="E297:F297"/>
    <mergeCell ref="E296:F296"/>
    <mergeCell ref="B297:C297"/>
    <mergeCell ref="B298:C298"/>
    <mergeCell ref="B299:C299"/>
    <mergeCell ref="B300:C300"/>
    <mergeCell ref="B301:C301"/>
    <mergeCell ref="E294:F294"/>
    <mergeCell ref="E293:F293"/>
    <mergeCell ref="E292:F292"/>
    <mergeCell ref="E291:F291"/>
    <mergeCell ref="B291:C291"/>
    <mergeCell ref="B292:C292"/>
    <mergeCell ref="B293:C293"/>
    <mergeCell ref="B294:C294"/>
    <mergeCell ref="B296:C296"/>
    <mergeCell ref="B295:C295"/>
    <mergeCell ref="E295:F295"/>
    <mergeCell ref="B302:C302"/>
    <mergeCell ref="B303:C303"/>
    <mergeCell ref="B304:C304"/>
    <mergeCell ref="B305:C305"/>
    <mergeCell ref="B306:C306"/>
    <mergeCell ref="B307:C307"/>
    <mergeCell ref="B308:C308"/>
    <mergeCell ref="B312:E312"/>
    <mergeCell ref="B317:E317"/>
    <mergeCell ref="B309:C309"/>
    <mergeCell ref="E309:F309"/>
    <mergeCell ref="B310:C310"/>
    <mergeCell ref="E310:F310"/>
    <mergeCell ref="E308:F308"/>
    <mergeCell ref="E307:F307"/>
    <mergeCell ref="E306:F306"/>
    <mergeCell ref="E305:F305"/>
    <mergeCell ref="E304:F304"/>
    <mergeCell ref="E303:F303"/>
    <mergeCell ref="E302:F302"/>
    <mergeCell ref="B322:C322"/>
    <mergeCell ref="E322:F322"/>
    <mergeCell ref="B323:C323"/>
    <mergeCell ref="E323:F323"/>
    <mergeCell ref="B324:C324"/>
    <mergeCell ref="E324:F324"/>
    <mergeCell ref="B325:C325"/>
    <mergeCell ref="E325:F325"/>
    <mergeCell ref="B327:C327"/>
    <mergeCell ref="E327:F327"/>
    <mergeCell ref="B328:C328"/>
    <mergeCell ref="E328:F328"/>
    <mergeCell ref="B329:C329"/>
    <mergeCell ref="E329:F329"/>
    <mergeCell ref="B330:C330"/>
    <mergeCell ref="E330:F330"/>
    <mergeCell ref="B332:C332"/>
    <mergeCell ref="E332:F332"/>
    <mergeCell ref="B333:C333"/>
    <mergeCell ref="E333:F333"/>
    <mergeCell ref="B410:F410"/>
    <mergeCell ref="B375:E375"/>
    <mergeCell ref="B380:E380"/>
    <mergeCell ref="B395:E395"/>
    <mergeCell ref="B429:J429"/>
    <mergeCell ref="G430:H430"/>
    <mergeCell ref="B334:C334"/>
    <mergeCell ref="E334:F334"/>
    <mergeCell ref="B335:C335"/>
    <mergeCell ref="E335:F335"/>
    <mergeCell ref="B338:E338"/>
    <mergeCell ref="B350:E350"/>
    <mergeCell ref="B356:E356"/>
    <mergeCell ref="B366:E366"/>
    <mergeCell ref="B372:E372"/>
  </mergeCell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2331-8EB5-42BA-ADB5-EACBF9FF20A2}">
  <sheetPr filterMode="1"/>
  <dimension ref="B2:Q251"/>
  <sheetViews>
    <sheetView topLeftCell="C298" zoomScale="46" zoomScaleNormal="112" workbookViewId="0">
      <selection activeCell="G144" sqref="G144"/>
    </sheetView>
  </sheetViews>
  <sheetFormatPr baseColWidth="10" defaultColWidth="10.85546875" defaultRowHeight="15"/>
  <cols>
    <col min="2" max="2" width="77.140625" customWidth="1"/>
    <col min="3" max="3" width="58.140625" customWidth="1"/>
    <col min="4" max="4" width="75.140625" customWidth="1"/>
    <col min="5" max="5" width="78.85546875" customWidth="1"/>
    <col min="6" max="6" width="35.85546875" customWidth="1"/>
    <col min="7" max="7" width="108.5703125" customWidth="1"/>
    <col min="8" max="8" width="22.42578125" customWidth="1"/>
    <col min="9" max="9" width="65.140625" customWidth="1"/>
    <col min="10" max="10" width="61.85546875" customWidth="1"/>
    <col min="11" max="11" width="38.7109375" customWidth="1"/>
    <col min="17" max="17" width="21.140625" customWidth="1"/>
  </cols>
  <sheetData>
    <row r="2" spans="2:2" ht="21">
      <c r="B2" s="11" t="s">
        <v>204</v>
      </c>
    </row>
    <row r="26" spans="2:7" ht="15.75" thickBot="1"/>
    <row r="27" spans="2:7" ht="15.75" thickBot="1">
      <c r="B27" s="284" t="s">
        <v>206</v>
      </c>
      <c r="C27" s="285"/>
      <c r="D27" s="286" t="s">
        <v>205</v>
      </c>
      <c r="E27" s="287"/>
    </row>
    <row r="28" spans="2:7" ht="16.5" customHeight="1" thickTop="1" thickBot="1">
      <c r="B28" s="63" t="s">
        <v>66</v>
      </c>
      <c r="C28" s="64" t="s">
        <v>244</v>
      </c>
      <c r="D28" s="65" t="s">
        <v>66</v>
      </c>
      <c r="E28" s="65" t="s">
        <v>244</v>
      </c>
      <c r="G28" s="68" t="s">
        <v>250</v>
      </c>
    </row>
    <row r="29" spans="2:7" ht="41.25" customHeight="1" thickBot="1">
      <c r="B29" s="29" t="s">
        <v>237</v>
      </c>
      <c r="C29" s="30">
        <v>320</v>
      </c>
      <c r="D29" s="31" t="s">
        <v>207</v>
      </c>
      <c r="E29" s="31">
        <v>1322</v>
      </c>
      <c r="G29">
        <f>E29+E30+E31+E32+E33+E34+E35</f>
        <v>2203.3000000000002</v>
      </c>
    </row>
    <row r="30" spans="2:7" ht="51" customHeight="1" thickBot="1">
      <c r="B30" s="61" t="s">
        <v>301</v>
      </c>
      <c r="C30" s="62">
        <v>1920</v>
      </c>
      <c r="D30" s="28" t="s">
        <v>208</v>
      </c>
      <c r="E30" s="28">
        <v>330.5</v>
      </c>
    </row>
    <row r="31" spans="2:7" ht="39" customHeight="1" thickBot="1">
      <c r="B31" s="325" t="s">
        <v>211</v>
      </c>
      <c r="C31" s="325">
        <v>160</v>
      </c>
      <c r="D31" s="31" t="s">
        <v>609</v>
      </c>
      <c r="E31" s="31">
        <v>6</v>
      </c>
    </row>
    <row r="32" spans="2:7" ht="20.25" customHeight="1" thickBot="1">
      <c r="B32" s="326"/>
      <c r="C32" s="326"/>
      <c r="D32" s="28" t="s">
        <v>610</v>
      </c>
      <c r="E32" s="28">
        <v>280</v>
      </c>
    </row>
    <row r="33" spans="2:13" ht="21" customHeight="1" thickBot="1">
      <c r="B33" s="326"/>
      <c r="C33" s="326"/>
      <c r="D33" s="31" t="s">
        <v>611</v>
      </c>
      <c r="E33" s="31">
        <v>95</v>
      </c>
    </row>
    <row r="34" spans="2:13" ht="21" customHeight="1" thickBot="1">
      <c r="B34" s="326"/>
      <c r="C34" s="326"/>
      <c r="D34" s="28" t="s">
        <v>612</v>
      </c>
      <c r="E34" s="28">
        <v>160</v>
      </c>
    </row>
    <row r="35" spans="2:13" ht="21" customHeight="1" thickBot="1">
      <c r="B35" s="327"/>
      <c r="C35" s="327"/>
      <c r="D35" s="31" t="s">
        <v>613</v>
      </c>
      <c r="E35" s="31">
        <v>9.8000000000000007</v>
      </c>
    </row>
    <row r="37" spans="2:13" ht="15.75" thickBot="1"/>
    <row r="38" spans="2:13">
      <c r="B38" s="274" t="s">
        <v>213</v>
      </c>
      <c r="C38" s="275"/>
      <c r="D38" s="275"/>
      <c r="E38" s="275"/>
      <c r="F38" s="275"/>
      <c r="G38" s="275"/>
      <c r="H38" s="275"/>
      <c r="I38" s="275"/>
      <c r="J38" s="275"/>
      <c r="K38" s="275"/>
      <c r="L38" s="275"/>
      <c r="M38" s="276"/>
    </row>
    <row r="39" spans="2:13" ht="15.75" thickBot="1"/>
    <row r="40" spans="2:13" ht="18.75" thickBot="1">
      <c r="B40" s="33" t="s">
        <v>77</v>
      </c>
      <c r="C40" s="32" t="s">
        <v>78</v>
      </c>
    </row>
    <row r="41" spans="2:13" ht="15.75" thickBot="1"/>
    <row r="42" spans="2:13" ht="15.75" thickBot="1">
      <c r="B42" s="312" t="s">
        <v>239</v>
      </c>
      <c r="C42" s="313"/>
      <c r="D42" s="313"/>
      <c r="E42" s="314"/>
    </row>
    <row r="44" spans="2:13">
      <c r="B44" s="251" t="s">
        <v>101</v>
      </c>
      <c r="C44" s="251"/>
      <c r="D44" s="251"/>
      <c r="E44" s="251"/>
    </row>
    <row r="45" spans="2:13">
      <c r="B45" s="42" t="s">
        <v>66</v>
      </c>
      <c r="C45" s="42" t="s">
        <v>244</v>
      </c>
      <c r="D45" s="42" t="s">
        <v>87</v>
      </c>
      <c r="E45" s="42" t="s">
        <v>102</v>
      </c>
      <c r="G45" s="46"/>
    </row>
    <row r="46" spans="2:13">
      <c r="B46" s="59" t="s">
        <v>240</v>
      </c>
      <c r="C46" s="55">
        <f>0.8*E29</f>
        <v>1057.6000000000001</v>
      </c>
      <c r="D46" s="55" t="s">
        <v>243</v>
      </c>
      <c r="E46" s="328" t="s">
        <v>246</v>
      </c>
    </row>
    <row r="47" spans="2:13">
      <c r="B47" s="59" t="s">
        <v>241</v>
      </c>
      <c r="C47" s="55">
        <f>0.8*E30</f>
        <v>264.40000000000003</v>
      </c>
      <c r="D47" s="55" t="s">
        <v>243</v>
      </c>
      <c r="E47" s="329"/>
      <c r="G47" s="66"/>
    </row>
    <row r="48" spans="2:13" ht="30">
      <c r="B48" s="59" t="s">
        <v>242</v>
      </c>
      <c r="C48" s="55">
        <f>E31</f>
        <v>6</v>
      </c>
      <c r="D48" s="55" t="s">
        <v>243</v>
      </c>
      <c r="E48" s="59" t="s">
        <v>247</v>
      </c>
    </row>
    <row r="49" spans="2:8">
      <c r="B49" s="250" t="s">
        <v>123</v>
      </c>
      <c r="C49" s="250"/>
      <c r="D49" s="250"/>
      <c r="E49" s="250"/>
    </row>
    <row r="50" spans="2:8">
      <c r="B50" s="59" t="s">
        <v>245</v>
      </c>
      <c r="C50" s="55">
        <f>C46+C47</f>
        <v>1322.0000000000002</v>
      </c>
      <c r="D50" s="55" t="s">
        <v>243</v>
      </c>
      <c r="E50" s="58" t="s">
        <v>246</v>
      </c>
    </row>
    <row r="51" spans="2:8" ht="30">
      <c r="B51" s="59" t="s">
        <v>242</v>
      </c>
      <c r="C51" s="59">
        <f>C48</f>
        <v>6</v>
      </c>
      <c r="D51" s="55" t="s">
        <v>243</v>
      </c>
      <c r="E51" s="59" t="s">
        <v>247</v>
      </c>
    </row>
    <row r="53" spans="2:8" ht="15.75" thickBot="1"/>
    <row r="54" spans="2:8" ht="15.75" thickBot="1">
      <c r="B54" s="312" t="s">
        <v>248</v>
      </c>
      <c r="C54" s="313"/>
      <c r="D54" s="313"/>
      <c r="E54" s="314"/>
    </row>
    <row r="56" spans="2:8">
      <c r="B56" s="118" t="s">
        <v>249</v>
      </c>
    </row>
    <row r="57" spans="2:8">
      <c r="B57" s="250" t="s">
        <v>101</v>
      </c>
      <c r="C57" s="250"/>
      <c r="D57" s="250"/>
      <c r="E57" s="250"/>
    </row>
    <row r="58" spans="2:8">
      <c r="B58" s="73" t="s">
        <v>66</v>
      </c>
      <c r="C58" s="73" t="s">
        <v>253</v>
      </c>
      <c r="D58" s="74" t="s">
        <v>87</v>
      </c>
      <c r="E58" s="42" t="s">
        <v>102</v>
      </c>
      <c r="F58" s="72"/>
    </row>
    <row r="59" spans="2:8">
      <c r="B59" s="59" t="s">
        <v>205</v>
      </c>
      <c r="C59" s="55">
        <v>2203.3000000000002</v>
      </c>
      <c r="D59" s="69" t="s">
        <v>243</v>
      </c>
      <c r="E59" s="75"/>
      <c r="F59" s="72"/>
    </row>
    <row r="60" spans="2:8" ht="54.75" customHeight="1">
      <c r="B60" s="59" t="s">
        <v>252</v>
      </c>
      <c r="C60" s="55">
        <f>(0.03382+0.0047+0.035+0.0000385+0.0057)*C59</f>
        <v>174.63025304999999</v>
      </c>
      <c r="D60" s="69" t="s">
        <v>534</v>
      </c>
      <c r="E60" s="75" t="s">
        <v>254</v>
      </c>
    </row>
    <row r="61" spans="2:8" ht="30">
      <c r="B61" s="67" t="s">
        <v>256</v>
      </c>
      <c r="C61" s="70">
        <f>(0.0054+0.0072)*C59</f>
        <v>27.761580000000002</v>
      </c>
      <c r="D61" s="71" t="s">
        <v>535</v>
      </c>
      <c r="E61" s="34" t="s">
        <v>255</v>
      </c>
      <c r="F61" s="72"/>
    </row>
    <row r="62" spans="2:8">
      <c r="B62" s="250" t="s">
        <v>123</v>
      </c>
      <c r="C62" s="250"/>
      <c r="D62" s="250"/>
      <c r="E62" s="250"/>
      <c r="G62" t="s">
        <v>262</v>
      </c>
      <c r="H62" s="48">
        <f>(8.12/1160.02)*C59</f>
        <v>15.422834089067431</v>
      </c>
    </row>
    <row r="63" spans="2:8">
      <c r="B63" s="59" t="s">
        <v>263</v>
      </c>
      <c r="C63" s="55">
        <f>C59*0.98</f>
        <v>2159.2339999999999</v>
      </c>
      <c r="D63" s="59" t="s">
        <v>264</v>
      </c>
      <c r="E63" s="58"/>
      <c r="G63" s="48" t="s">
        <v>260</v>
      </c>
      <c r="H63" s="48">
        <f>((5.2+530.64+568.94)/1160.02)*C59</f>
        <v>2098.3791434630443</v>
      </c>
    </row>
    <row r="64" spans="2:8" ht="30">
      <c r="B64" s="59" t="s">
        <v>251</v>
      </c>
      <c r="C64" s="59">
        <f>C59*0.025</f>
        <v>55.08250000000001</v>
      </c>
      <c r="D64" s="59" t="s">
        <v>538</v>
      </c>
      <c r="E64" s="59"/>
      <c r="G64" s="48" t="s">
        <v>261</v>
      </c>
      <c r="H64" s="48">
        <f>(11.31/1160.2)*C59</f>
        <v>21.478471815204276</v>
      </c>
    </row>
    <row r="66" spans="2:5" ht="33" customHeight="1">
      <c r="B66" s="321" t="s">
        <v>533</v>
      </c>
      <c r="C66" s="321"/>
      <c r="D66" s="321"/>
      <c r="E66" s="321"/>
    </row>
    <row r="67" spans="2:5">
      <c r="B67" s="250" t="s">
        <v>101</v>
      </c>
      <c r="C67" s="250"/>
      <c r="D67" s="250"/>
      <c r="E67" s="250"/>
    </row>
    <row r="68" spans="2:5">
      <c r="B68" s="42" t="s">
        <v>66</v>
      </c>
      <c r="C68" s="42" t="s">
        <v>253</v>
      </c>
      <c r="D68" s="42" t="s">
        <v>87</v>
      </c>
      <c r="E68" s="42" t="s">
        <v>102</v>
      </c>
    </row>
    <row r="69" spans="2:5">
      <c r="B69" s="59" t="s">
        <v>265</v>
      </c>
      <c r="C69" s="55">
        <v>21.48</v>
      </c>
      <c r="D69" s="59"/>
      <c r="E69" s="75"/>
    </row>
    <row r="70" spans="2:5">
      <c r="B70" s="59" t="s">
        <v>257</v>
      </c>
      <c r="C70" s="55">
        <v>0.27</v>
      </c>
      <c r="D70" s="59" t="s">
        <v>243</v>
      </c>
      <c r="E70" s="75" t="s">
        <v>536</v>
      </c>
    </row>
    <row r="71" spans="2:5">
      <c r="B71" s="59" t="s">
        <v>258</v>
      </c>
      <c r="C71" s="55">
        <v>3.29</v>
      </c>
      <c r="D71" s="59" t="s">
        <v>243</v>
      </c>
      <c r="E71" s="1" t="s">
        <v>259</v>
      </c>
    </row>
    <row r="72" spans="2:5">
      <c r="B72" s="59" t="s">
        <v>266</v>
      </c>
      <c r="C72" s="55">
        <f>0.0924*C69</f>
        <v>1.9847519999999998</v>
      </c>
      <c r="D72" s="59" t="s">
        <v>268</v>
      </c>
      <c r="E72" s="1" t="s">
        <v>267</v>
      </c>
    </row>
    <row r="73" spans="2:5">
      <c r="B73" s="250" t="s">
        <v>123</v>
      </c>
      <c r="C73" s="250"/>
      <c r="D73" s="250"/>
      <c r="E73" s="250"/>
    </row>
    <row r="74" spans="2:5">
      <c r="B74" s="59" t="s">
        <v>242</v>
      </c>
      <c r="C74" s="55">
        <f>(833/2000)*C69</f>
        <v>8.9464199999999998</v>
      </c>
      <c r="D74" s="55" t="s">
        <v>269</v>
      </c>
      <c r="E74" s="58"/>
    </row>
    <row r="75" spans="2:5">
      <c r="B75" s="59" t="s">
        <v>271</v>
      </c>
      <c r="C75" s="55">
        <f>(2500/2000)*C69</f>
        <v>26.85</v>
      </c>
      <c r="D75" s="55" t="s">
        <v>243</v>
      </c>
      <c r="E75" t="s">
        <v>273</v>
      </c>
    </row>
    <row r="76" spans="2:5">
      <c r="B76" s="59" t="s">
        <v>272</v>
      </c>
      <c r="C76" s="55">
        <f>(20/2000)*C69</f>
        <v>0.21480000000000002</v>
      </c>
      <c r="D76" s="55" t="s">
        <v>243</v>
      </c>
      <c r="E76" t="s">
        <v>537</v>
      </c>
    </row>
    <row r="77" spans="2:5">
      <c r="B77" s="59" t="s">
        <v>251</v>
      </c>
      <c r="C77" s="59">
        <f>(167/2000)*C69</f>
        <v>1.7935800000000002</v>
      </c>
      <c r="D77" s="55" t="s">
        <v>270</v>
      </c>
      <c r="E77" s="76"/>
    </row>
    <row r="79" spans="2:5">
      <c r="B79" s="322" t="s">
        <v>274</v>
      </c>
      <c r="C79" s="321"/>
      <c r="D79" s="321"/>
      <c r="E79" s="321"/>
    </row>
    <row r="80" spans="2:5">
      <c r="B80" s="250" t="s">
        <v>101</v>
      </c>
      <c r="C80" s="250"/>
      <c r="D80" s="250"/>
      <c r="E80" s="250"/>
    </row>
    <row r="81" spans="2:5">
      <c r="B81" s="42" t="s">
        <v>66</v>
      </c>
      <c r="C81" s="42" t="s">
        <v>253</v>
      </c>
      <c r="D81" s="42" t="s">
        <v>87</v>
      </c>
      <c r="E81" s="42" t="s">
        <v>102</v>
      </c>
    </row>
    <row r="82" spans="2:5">
      <c r="B82" s="59" t="s">
        <v>265</v>
      </c>
      <c r="C82" s="55">
        <f>C74</f>
        <v>8.9464199999999998</v>
      </c>
      <c r="D82" s="59"/>
      <c r="E82" s="75"/>
    </row>
    <row r="83" spans="2:5">
      <c r="B83" s="59" t="s">
        <v>275</v>
      </c>
      <c r="C83" s="55">
        <v>2.42</v>
      </c>
      <c r="D83" s="59" t="s">
        <v>243</v>
      </c>
      <c r="E83" s="75" t="s">
        <v>536</v>
      </c>
    </row>
    <row r="84" spans="2:5">
      <c r="B84" s="250" t="s">
        <v>123</v>
      </c>
      <c r="C84" s="250"/>
      <c r="D84" s="250"/>
      <c r="E84" s="250"/>
    </row>
    <row r="85" spans="2:5">
      <c r="B85" s="59" t="s">
        <v>276</v>
      </c>
      <c r="C85" s="55">
        <f>(950/1000)*C82</f>
        <v>8.4990989999999993</v>
      </c>
      <c r="D85" s="55" t="s">
        <v>269</v>
      </c>
      <c r="E85" s="58"/>
    </row>
    <row r="86" spans="2:5">
      <c r="B86" s="59" t="s">
        <v>251</v>
      </c>
      <c r="C86" s="59">
        <f>(50/1000)*C82</f>
        <v>0.44732100000000002</v>
      </c>
      <c r="D86" s="55" t="s">
        <v>270</v>
      </c>
      <c r="E86" s="76"/>
    </row>
    <row r="87" spans="2:5" ht="15.75" thickBot="1"/>
    <row r="88" spans="2:5" ht="15.75" thickBot="1">
      <c r="B88" s="312" t="s">
        <v>277</v>
      </c>
      <c r="C88" s="313"/>
      <c r="D88" s="313"/>
      <c r="E88" s="314"/>
    </row>
    <row r="90" spans="2:5">
      <c r="B90" s="250" t="s">
        <v>101</v>
      </c>
      <c r="C90" s="250"/>
      <c r="D90" s="250"/>
      <c r="E90" s="250"/>
    </row>
    <row r="91" spans="2:5">
      <c r="B91" s="42" t="s">
        <v>66</v>
      </c>
      <c r="C91" s="42" t="s">
        <v>253</v>
      </c>
      <c r="D91" s="42" t="s">
        <v>87</v>
      </c>
      <c r="E91" s="42" t="s">
        <v>102</v>
      </c>
    </row>
    <row r="92" spans="2:5">
      <c r="B92" s="59" t="s">
        <v>278</v>
      </c>
      <c r="C92" s="55">
        <f>C64</f>
        <v>55.08250000000001</v>
      </c>
      <c r="D92" s="59" t="s">
        <v>243</v>
      </c>
      <c r="E92" s="76" t="s">
        <v>539</v>
      </c>
    </row>
    <row r="93" spans="2:5">
      <c r="B93" s="250" t="s">
        <v>123</v>
      </c>
      <c r="C93" s="250"/>
      <c r="D93" s="250"/>
      <c r="E93" s="250"/>
    </row>
    <row r="94" spans="2:5">
      <c r="B94" s="59" t="s">
        <v>279</v>
      </c>
      <c r="C94" s="55">
        <f>C92</f>
        <v>55.08250000000001</v>
      </c>
      <c r="D94" s="55" t="s">
        <v>269</v>
      </c>
      <c r="E94" s="58"/>
    </row>
    <row r="96" spans="2:5">
      <c r="B96" s="250" t="s">
        <v>101</v>
      </c>
      <c r="C96" s="250"/>
      <c r="D96" s="250"/>
      <c r="E96" s="250"/>
    </row>
    <row r="97" spans="2:17">
      <c r="B97" s="42" t="s">
        <v>66</v>
      </c>
      <c r="C97" s="42" t="s">
        <v>253</v>
      </c>
      <c r="D97" s="42" t="s">
        <v>87</v>
      </c>
      <c r="E97" s="42" t="s">
        <v>102</v>
      </c>
    </row>
    <row r="98" spans="2:17">
      <c r="B98" s="59" t="s">
        <v>280</v>
      </c>
      <c r="C98" s="55">
        <f>C77+C86</f>
        <v>2.240901</v>
      </c>
      <c r="D98" s="59" t="s">
        <v>243</v>
      </c>
      <c r="E98" s="76" t="s">
        <v>539</v>
      </c>
    </row>
    <row r="99" spans="2:17">
      <c r="B99" s="250"/>
      <c r="C99" s="250"/>
      <c r="D99" s="250"/>
      <c r="E99" s="250"/>
    </row>
    <row r="100" spans="2:17">
      <c r="B100" s="59" t="s">
        <v>279</v>
      </c>
      <c r="C100" s="55">
        <f>C98</f>
        <v>2.240901</v>
      </c>
      <c r="D100" s="55" t="s">
        <v>269</v>
      </c>
      <c r="E100" s="58"/>
    </row>
    <row r="101" spans="2:17" ht="15.75" thickBot="1"/>
    <row r="102" spans="2:17" ht="34.5" customHeight="1" thickBot="1">
      <c r="B102" s="312" t="s">
        <v>282</v>
      </c>
      <c r="C102" s="313"/>
      <c r="D102" s="313"/>
      <c r="E102" s="314"/>
      <c r="G102" s="323" t="s">
        <v>281</v>
      </c>
      <c r="H102" s="324"/>
      <c r="I102" s="324"/>
      <c r="J102" s="324"/>
      <c r="K102" s="324"/>
      <c r="L102" s="324"/>
      <c r="M102" s="324"/>
      <c r="N102" s="324"/>
      <c r="O102" s="324"/>
      <c r="P102" s="324"/>
      <c r="Q102" s="324"/>
    </row>
    <row r="104" spans="2:17">
      <c r="B104" s="250" t="s">
        <v>101</v>
      </c>
      <c r="C104" s="250"/>
      <c r="D104" s="250"/>
      <c r="E104" s="250"/>
    </row>
    <row r="105" spans="2:17">
      <c r="B105" s="42" t="s">
        <v>66</v>
      </c>
      <c r="C105" s="42" t="s">
        <v>244</v>
      </c>
      <c r="D105" s="42" t="s">
        <v>87</v>
      </c>
      <c r="E105" s="42" t="s">
        <v>102</v>
      </c>
    </row>
    <row r="106" spans="2:17">
      <c r="B106" s="59" t="s">
        <v>283</v>
      </c>
      <c r="C106" s="55">
        <f>E29</f>
        <v>1322</v>
      </c>
      <c r="D106" s="59" t="s">
        <v>243</v>
      </c>
      <c r="E106" s="75" t="s">
        <v>540</v>
      </c>
    </row>
    <row r="107" spans="2:17">
      <c r="B107" s="59" t="s">
        <v>284</v>
      </c>
      <c r="C107" s="55">
        <f>E30</f>
        <v>330.5</v>
      </c>
      <c r="D107" s="59" t="s">
        <v>243</v>
      </c>
      <c r="E107" s="59" t="s">
        <v>541</v>
      </c>
    </row>
    <row r="108" spans="2:17">
      <c r="B108" s="59" t="s">
        <v>285</v>
      </c>
      <c r="C108" s="55">
        <f>E31</f>
        <v>6</v>
      </c>
      <c r="D108" s="59" t="s">
        <v>243</v>
      </c>
      <c r="E108" s="59" t="s">
        <v>542</v>
      </c>
    </row>
    <row r="109" spans="2:17">
      <c r="B109" s="59" t="s">
        <v>209</v>
      </c>
      <c r="C109" s="55">
        <f>E32</f>
        <v>280</v>
      </c>
      <c r="D109" s="59" t="s">
        <v>243</v>
      </c>
      <c r="E109" s="108" t="s">
        <v>543</v>
      </c>
    </row>
    <row r="110" spans="2:17">
      <c r="B110" s="59" t="s">
        <v>210</v>
      </c>
      <c r="C110" s="55">
        <v>95</v>
      </c>
      <c r="D110" s="59" t="s">
        <v>243</v>
      </c>
      <c r="E110" s="108" t="s">
        <v>544</v>
      </c>
    </row>
    <row r="111" spans="2:17">
      <c r="B111" s="59" t="s">
        <v>286</v>
      </c>
      <c r="C111" s="55">
        <v>160</v>
      </c>
      <c r="D111" s="59" t="s">
        <v>243</v>
      </c>
      <c r="E111" s="108" t="s">
        <v>545</v>
      </c>
    </row>
    <row r="112" spans="2:17" ht="32.25" customHeight="1">
      <c r="B112" s="59" t="s">
        <v>212</v>
      </c>
      <c r="C112" s="55">
        <v>9.8000000000000007</v>
      </c>
      <c r="D112" s="59" t="s">
        <v>243</v>
      </c>
      <c r="E112" s="59" t="s">
        <v>546</v>
      </c>
    </row>
    <row r="113" spans="2:6">
      <c r="B113" s="250" t="s">
        <v>123</v>
      </c>
      <c r="C113" s="250"/>
      <c r="D113" s="250"/>
      <c r="E113" s="250"/>
    </row>
    <row r="114" spans="2:6">
      <c r="B114" s="59" t="s">
        <v>205</v>
      </c>
      <c r="C114" s="55">
        <f>C106+C107+C108+C109+C110+C111+C112</f>
        <v>2203.3000000000002</v>
      </c>
      <c r="D114" s="55" t="s">
        <v>243</v>
      </c>
      <c r="E114" s="58"/>
    </row>
    <row r="116" spans="2:6">
      <c r="B116" s="38" t="s">
        <v>176</v>
      </c>
    </row>
    <row r="118" spans="2:6">
      <c r="B118" s="250" t="s">
        <v>213</v>
      </c>
      <c r="C118" s="250"/>
      <c r="D118" s="250"/>
      <c r="E118" s="250"/>
      <c r="F118" s="107"/>
    </row>
    <row r="119" spans="2:6">
      <c r="B119" s="1" t="s">
        <v>162</v>
      </c>
      <c r="C119" s="58" t="s">
        <v>81</v>
      </c>
      <c r="D119" s="58" t="s">
        <v>288</v>
      </c>
      <c r="E119" s="58" t="s">
        <v>177</v>
      </c>
      <c r="F119" s="58" t="s">
        <v>175</v>
      </c>
    </row>
    <row r="120" spans="2:6" ht="14.25" customHeight="1">
      <c r="B120" s="36" t="s">
        <v>163</v>
      </c>
      <c r="C120" s="56">
        <v>7.2999999999999999E-5</v>
      </c>
      <c r="D120" s="57">
        <f>0.00000131+0.000000056+0.000000121</f>
        <v>1.4869999999999999E-6</v>
      </c>
      <c r="E120" s="44">
        <v>5.71E-4</v>
      </c>
      <c r="F120" s="44">
        <v>3.0899999999999997E-7</v>
      </c>
    </row>
    <row r="121" spans="2:6">
      <c r="B121" s="36" t="s">
        <v>164</v>
      </c>
      <c r="C121" s="56">
        <v>8470</v>
      </c>
      <c r="D121" s="57">
        <f>26.2+6.14+2.59</f>
        <v>34.929999999999993</v>
      </c>
      <c r="E121" s="44">
        <v>3970</v>
      </c>
      <c r="F121" s="44">
        <v>10.9</v>
      </c>
    </row>
    <row r="122" spans="2:6">
      <c r="B122" s="36" t="s">
        <v>165</v>
      </c>
      <c r="C122" s="56">
        <v>0.28899999999999998</v>
      </c>
      <c r="D122" s="57">
        <f>0.00342+0.000449+0.00038</f>
        <v>4.2490000000000002E-3</v>
      </c>
      <c r="E122" s="44">
        <v>0.441</v>
      </c>
      <c r="F122" s="44">
        <v>4.8700000000000002E-3</v>
      </c>
    </row>
    <row r="123" spans="2:6" ht="21" customHeight="1">
      <c r="B123" s="36" t="s">
        <v>166</v>
      </c>
      <c r="C123" s="56">
        <v>4.9399999999999999E-2</v>
      </c>
      <c r="D123" s="57">
        <f>0.000642+0.00119+0.000345</f>
        <v>2.1770000000000001E-3</v>
      </c>
      <c r="E123" s="44">
        <v>8.6300000000000002E-2</v>
      </c>
      <c r="F123" s="44">
        <v>5.4600000000000004E-4</v>
      </c>
    </row>
    <row r="124" spans="2:6">
      <c r="B124" s="36" t="s">
        <v>167</v>
      </c>
      <c r="C124" s="56">
        <v>3.29</v>
      </c>
      <c r="D124" s="57">
        <f>0.0041+0.000389+0.000433</f>
        <v>4.9220000000000002E-3</v>
      </c>
      <c r="E124" s="44">
        <v>0.56799999999999995</v>
      </c>
      <c r="F124" s="44">
        <v>3.3700000000000002E-3</v>
      </c>
    </row>
    <row r="125" spans="2:6" ht="20.25" customHeight="1">
      <c r="B125" s="36" t="s">
        <v>168</v>
      </c>
      <c r="C125" s="56">
        <v>84.6</v>
      </c>
      <c r="D125" s="57">
        <f>2.66+20.6+0.562</f>
        <v>23.822000000000003</v>
      </c>
      <c r="E125" s="44">
        <v>414</v>
      </c>
      <c r="F125" s="44">
        <v>0.81499999999999995</v>
      </c>
    </row>
    <row r="126" spans="2:6" ht="30">
      <c r="B126" s="36" t="s">
        <v>169</v>
      </c>
      <c r="C126" s="56">
        <v>117</v>
      </c>
      <c r="D126" s="57"/>
      <c r="E126" s="44">
        <v>413</v>
      </c>
      <c r="F126" s="44">
        <v>0.84299999999999997</v>
      </c>
    </row>
    <row r="127" spans="2:6">
      <c r="B127" s="36" t="s">
        <v>170</v>
      </c>
      <c r="C127" s="56">
        <v>10.6</v>
      </c>
      <c r="D127" s="57">
        <f>7.72+0.00813+0.00863</f>
        <v>7.7367600000000003</v>
      </c>
      <c r="E127" s="44">
        <v>12.4</v>
      </c>
      <c r="F127" s="44">
        <v>4.19E-2</v>
      </c>
    </row>
    <row r="128" spans="2:6" ht="19.5" customHeight="1">
      <c r="B128" s="36" t="s">
        <v>171</v>
      </c>
      <c r="C128" s="56">
        <v>10200</v>
      </c>
      <c r="D128" s="57">
        <f>291+11.1+27.8</f>
        <v>329.90000000000003</v>
      </c>
      <c r="E128" s="44">
        <v>16400</v>
      </c>
      <c r="F128" s="44">
        <v>176</v>
      </c>
    </row>
    <row r="129" spans="2:11" ht="23.25" customHeight="1">
      <c r="B129" s="36" t="s">
        <v>172</v>
      </c>
      <c r="C129" s="56">
        <v>2.8999999999999998E-10</v>
      </c>
      <c r="D129" s="57">
        <f>0.000000000068+0.000000000000818+0.00000000000617</f>
        <v>7.4988E-11</v>
      </c>
      <c r="E129" s="44">
        <v>3.2599999999999999E-9</v>
      </c>
      <c r="F129" s="44">
        <v>2.3900000000000001E-12</v>
      </c>
    </row>
    <row r="130" spans="2:11" ht="20.25" customHeight="1">
      <c r="B130" s="36" t="s">
        <v>173</v>
      </c>
      <c r="C130" s="56">
        <v>4.4400000000000002E-2</v>
      </c>
      <c r="D130" s="57">
        <f>0.000237+0.000316+0.000095</f>
        <v>6.4800000000000003E-4</v>
      </c>
      <c r="E130" s="44">
        <v>4.2599999999999999E-2</v>
      </c>
      <c r="F130" s="44">
        <v>3.8000000000000002E-4</v>
      </c>
    </row>
    <row r="131" spans="2:11" ht="19.5" customHeight="1">
      <c r="B131" s="36" t="s">
        <v>174</v>
      </c>
      <c r="C131" s="56">
        <v>1.24</v>
      </c>
      <c r="D131" s="57">
        <f>0.003+0.00196+0.000648</f>
        <v>5.6080000000000001E-3</v>
      </c>
      <c r="E131" s="44">
        <v>0.41299999999999998</v>
      </c>
      <c r="F131" s="44">
        <v>2.2599999999999999E-2</v>
      </c>
    </row>
    <row r="132" spans="2:11" ht="15.75" thickBot="1"/>
    <row r="133" spans="2:11" ht="15.75" thickBot="1">
      <c r="B133" s="33" t="s">
        <v>178</v>
      </c>
      <c r="C133" s="32" t="s">
        <v>187</v>
      </c>
    </row>
    <row r="135" spans="2:11">
      <c r="B135" s="251" t="s">
        <v>213</v>
      </c>
      <c r="C135" s="251"/>
      <c r="D135" s="251"/>
      <c r="E135" s="251"/>
      <c r="F135" s="251"/>
      <c r="G135" s="251"/>
      <c r="H135" s="251"/>
      <c r="I135" s="251"/>
      <c r="J135" s="251"/>
    </row>
    <row r="136" spans="2:11">
      <c r="B136" s="42" t="s">
        <v>179</v>
      </c>
      <c r="C136" s="42" t="s">
        <v>33</v>
      </c>
      <c r="D136" s="42" t="s">
        <v>34</v>
      </c>
      <c r="E136" s="42" t="s">
        <v>35</v>
      </c>
      <c r="F136" s="42" t="s">
        <v>50</v>
      </c>
      <c r="G136" s="252" t="s">
        <v>196</v>
      </c>
      <c r="H136" s="253"/>
      <c r="I136" s="119" t="s">
        <v>189</v>
      </c>
      <c r="J136" s="42" t="s">
        <v>190</v>
      </c>
      <c r="K136" s="1"/>
    </row>
    <row r="137" spans="2:11" ht="117" customHeight="1">
      <c r="B137" s="187" t="s">
        <v>2</v>
      </c>
      <c r="C137" s="182" t="s">
        <v>194</v>
      </c>
      <c r="D137" s="182" t="s">
        <v>289</v>
      </c>
      <c r="E137" s="182" t="s">
        <v>565</v>
      </c>
      <c r="F137" s="187"/>
      <c r="G137" s="141" t="s">
        <v>752</v>
      </c>
      <c r="H137" s="54" t="s">
        <v>291</v>
      </c>
      <c r="I137" s="268" t="s">
        <v>293</v>
      </c>
      <c r="J137" s="182" t="s">
        <v>579</v>
      </c>
      <c r="K137" s="143"/>
    </row>
    <row r="138" spans="2:11" ht="45">
      <c r="B138" s="188"/>
      <c r="C138" s="183"/>
      <c r="D138" s="183"/>
      <c r="E138" s="183"/>
      <c r="F138" s="188"/>
      <c r="G138" s="51" t="s">
        <v>660</v>
      </c>
      <c r="H138" s="54" t="s">
        <v>292</v>
      </c>
      <c r="I138" s="270"/>
      <c r="J138" s="183"/>
      <c r="K138" s="1"/>
    </row>
    <row r="139" spans="2:11" ht="105">
      <c r="B139" s="34" t="s">
        <v>180</v>
      </c>
      <c r="C139" s="59" t="s">
        <v>661</v>
      </c>
      <c r="D139" s="36" t="s">
        <v>200</v>
      </c>
      <c r="E139" s="36"/>
      <c r="F139" s="34"/>
      <c r="G139" s="52" t="s">
        <v>662</v>
      </c>
      <c r="H139" s="36" t="s">
        <v>291</v>
      </c>
      <c r="I139" s="120">
        <v>0.6</v>
      </c>
      <c r="J139" s="36" t="s">
        <v>580</v>
      </c>
      <c r="K139" s="1"/>
    </row>
    <row r="140" spans="2:11" ht="30">
      <c r="B140" s="34" t="s">
        <v>181</v>
      </c>
      <c r="C140" s="36" t="s">
        <v>569</v>
      </c>
      <c r="D140" s="45" t="s">
        <v>202</v>
      </c>
      <c r="E140" s="45" t="s">
        <v>296</v>
      </c>
      <c r="F140" s="37" t="s">
        <v>551</v>
      </c>
      <c r="G140" s="24" t="s">
        <v>753</v>
      </c>
      <c r="H140" s="36" t="s">
        <v>754</v>
      </c>
      <c r="I140" s="121" t="s">
        <v>557</v>
      </c>
      <c r="J140" s="36" t="s">
        <v>664</v>
      </c>
      <c r="K140" s="77"/>
    </row>
    <row r="141" spans="2:11" ht="124.5" customHeight="1">
      <c r="B141" s="37" t="s">
        <v>7</v>
      </c>
      <c r="C141" s="36" t="s">
        <v>297</v>
      </c>
      <c r="D141" s="36" t="s">
        <v>666</v>
      </c>
      <c r="E141" s="36" t="s">
        <v>665</v>
      </c>
      <c r="F141" s="36" t="s">
        <v>645</v>
      </c>
      <c r="G141" s="52" t="s">
        <v>667</v>
      </c>
      <c r="H141" s="79" t="s">
        <v>668</v>
      </c>
      <c r="I141" s="120">
        <v>1</v>
      </c>
      <c r="J141" s="45" t="s">
        <v>581</v>
      </c>
      <c r="K141" s="1"/>
    </row>
    <row r="142" spans="2:11" ht="104.25" customHeight="1">
      <c r="B142" s="187" t="s">
        <v>183</v>
      </c>
      <c r="C142" s="182" t="s">
        <v>297</v>
      </c>
      <c r="D142" s="182" t="s">
        <v>641</v>
      </c>
      <c r="E142" s="182" t="s">
        <v>642</v>
      </c>
      <c r="F142" s="182" t="s">
        <v>669</v>
      </c>
      <c r="G142" s="142"/>
      <c r="H142" s="80"/>
      <c r="I142" s="315" t="s">
        <v>758</v>
      </c>
      <c r="J142" s="182" t="s">
        <v>672</v>
      </c>
      <c r="K142" s="318"/>
    </row>
    <row r="143" spans="2:11" ht="232.5" customHeight="1">
      <c r="B143" s="303"/>
      <c r="C143" s="299"/>
      <c r="D143" s="299"/>
      <c r="E143" s="299"/>
      <c r="F143" s="299"/>
      <c r="G143" s="142" t="s">
        <v>757</v>
      </c>
      <c r="H143" s="156" t="s">
        <v>755</v>
      </c>
      <c r="I143" s="316"/>
      <c r="J143" s="299"/>
      <c r="K143" s="318"/>
    </row>
    <row r="144" spans="2:11" ht="91.5" customHeight="1">
      <c r="B144" s="303"/>
      <c r="C144" s="299"/>
      <c r="D144" s="299"/>
      <c r="E144" s="299"/>
      <c r="F144" s="299"/>
      <c r="G144" s="36" t="s">
        <v>756</v>
      </c>
      <c r="H144" s="80" t="s">
        <v>671</v>
      </c>
      <c r="I144" s="316"/>
      <c r="J144" s="299"/>
      <c r="K144" s="318"/>
    </row>
    <row r="145" spans="2:13" ht="87.75" customHeight="1">
      <c r="B145" s="188"/>
      <c r="C145" s="183"/>
      <c r="D145" s="183"/>
      <c r="E145" s="183"/>
      <c r="F145" s="183"/>
      <c r="G145" s="36"/>
      <c r="H145" s="80"/>
      <c r="I145" s="317"/>
      <c r="J145" s="183"/>
      <c r="K145" s="318"/>
    </row>
    <row r="146" spans="2:13" ht="279" customHeight="1">
      <c r="B146" s="187" t="s">
        <v>184</v>
      </c>
      <c r="C146" s="182" t="s">
        <v>297</v>
      </c>
      <c r="D146" s="182" t="s">
        <v>641</v>
      </c>
      <c r="E146" s="182" t="s">
        <v>670</v>
      </c>
      <c r="F146" s="182" t="s">
        <v>645</v>
      </c>
      <c r="G146" s="52" t="s">
        <v>760</v>
      </c>
      <c r="H146" s="36" t="s">
        <v>759</v>
      </c>
      <c r="I146" s="310" t="s">
        <v>639</v>
      </c>
      <c r="J146" s="182" t="s">
        <v>672</v>
      </c>
      <c r="K146" s="319"/>
    </row>
    <row r="147" spans="2:13" ht="195.75" customHeight="1">
      <c r="B147" s="188"/>
      <c r="C147" s="183"/>
      <c r="D147" s="183"/>
      <c r="E147" s="183"/>
      <c r="F147" s="183"/>
      <c r="G147" s="36" t="s">
        <v>674</v>
      </c>
      <c r="H147" s="80" t="s">
        <v>671</v>
      </c>
      <c r="I147" s="311"/>
      <c r="J147" s="183"/>
      <c r="K147" s="320"/>
    </row>
    <row r="149" spans="2:13" ht="15.75" thickBot="1"/>
    <row r="150" spans="2:13">
      <c r="B150" s="274" t="s">
        <v>300</v>
      </c>
      <c r="C150" s="275"/>
      <c r="D150" s="275"/>
      <c r="E150" s="275"/>
      <c r="F150" s="275"/>
      <c r="G150" s="275"/>
      <c r="H150" s="275"/>
      <c r="I150" s="275"/>
      <c r="J150" s="275"/>
      <c r="K150" s="275"/>
      <c r="L150" s="275"/>
      <c r="M150" s="276"/>
    </row>
    <row r="151" spans="2:13" ht="15.75" thickBot="1"/>
    <row r="152" spans="2:13" ht="18.75" thickBot="1">
      <c r="B152" s="33" t="s">
        <v>77</v>
      </c>
      <c r="C152" s="32" t="s">
        <v>78</v>
      </c>
    </row>
    <row r="153" spans="2:13" ht="15.75" thickBot="1"/>
    <row r="154" spans="2:13" ht="15.75" thickBot="1">
      <c r="B154" s="312" t="s">
        <v>282</v>
      </c>
      <c r="C154" s="313"/>
      <c r="D154" s="313"/>
      <c r="E154" s="314"/>
    </row>
    <row r="156" spans="2:13">
      <c r="B156" s="250" t="s">
        <v>101</v>
      </c>
      <c r="C156" s="250"/>
      <c r="D156" s="250"/>
      <c r="E156" s="250"/>
    </row>
    <row r="157" spans="2:13">
      <c r="B157" s="42" t="s">
        <v>66</v>
      </c>
      <c r="C157" s="42" t="s">
        <v>244</v>
      </c>
      <c r="D157" s="42" t="s">
        <v>87</v>
      </c>
      <c r="E157" s="42" t="s">
        <v>102</v>
      </c>
    </row>
    <row r="158" spans="2:13">
      <c r="B158" s="59" t="s">
        <v>238</v>
      </c>
      <c r="C158" s="55">
        <f>C30</f>
        <v>1920</v>
      </c>
      <c r="D158" s="59" t="s">
        <v>303</v>
      </c>
      <c r="E158" s="75" t="s">
        <v>541</v>
      </c>
    </row>
    <row r="159" spans="2:13">
      <c r="B159" s="59" t="s">
        <v>237</v>
      </c>
      <c r="C159" s="55">
        <f>C29</f>
        <v>320</v>
      </c>
      <c r="D159" s="59" t="s">
        <v>303</v>
      </c>
      <c r="E159" s="75" t="s">
        <v>543</v>
      </c>
    </row>
    <row r="160" spans="2:13">
      <c r="B160" s="59" t="s">
        <v>211</v>
      </c>
      <c r="C160" s="55">
        <f>C31</f>
        <v>160</v>
      </c>
      <c r="D160" s="59" t="s">
        <v>303</v>
      </c>
      <c r="E160" s="59" t="s">
        <v>545</v>
      </c>
    </row>
    <row r="161" spans="2:5">
      <c r="B161" s="250" t="s">
        <v>123</v>
      </c>
      <c r="C161" s="250"/>
      <c r="D161" s="250"/>
      <c r="E161" s="250"/>
    </row>
    <row r="162" spans="2:5">
      <c r="B162" s="59" t="s">
        <v>302</v>
      </c>
      <c r="C162" s="55">
        <f>C158+C160+C159</f>
        <v>2400</v>
      </c>
      <c r="D162" s="59" t="s">
        <v>303</v>
      </c>
      <c r="E162" s="58"/>
    </row>
    <row r="163" spans="2:5" ht="15.75" thickBot="1"/>
    <row r="164" spans="2:5" ht="15.75" thickBot="1">
      <c r="B164" s="312" t="s">
        <v>422</v>
      </c>
      <c r="C164" s="313"/>
      <c r="D164" s="313"/>
      <c r="E164" s="314"/>
    </row>
    <row r="165" spans="2:5" ht="15.75" thickBot="1"/>
    <row r="166" spans="2:5" ht="15.75" thickBot="1">
      <c r="B166" s="312" t="s">
        <v>248</v>
      </c>
      <c r="C166" s="313"/>
      <c r="D166" s="313"/>
      <c r="E166" s="314"/>
    </row>
    <row r="168" spans="2:5">
      <c r="B168" s="118" t="s">
        <v>249</v>
      </c>
    </row>
    <row r="169" spans="2:5">
      <c r="B169" s="250" t="s">
        <v>101</v>
      </c>
      <c r="C169" s="250"/>
      <c r="D169" s="250"/>
      <c r="E169" s="250"/>
    </row>
    <row r="170" spans="2:5">
      <c r="B170" s="73" t="s">
        <v>66</v>
      </c>
      <c r="C170" s="73" t="s">
        <v>253</v>
      </c>
      <c r="D170" s="74" t="s">
        <v>87</v>
      </c>
      <c r="E170" s="42" t="s">
        <v>102</v>
      </c>
    </row>
    <row r="171" spans="2:5">
      <c r="B171" s="59" t="s">
        <v>302</v>
      </c>
      <c r="C171" s="55">
        <f>C162</f>
        <v>2400</v>
      </c>
      <c r="D171" s="59" t="s">
        <v>303</v>
      </c>
      <c r="E171" s="75"/>
    </row>
    <row r="172" spans="2:5" ht="60">
      <c r="B172" s="67" t="s">
        <v>426</v>
      </c>
      <c r="C172" s="70">
        <f>0.0067*C171</f>
        <v>16.080000000000002</v>
      </c>
      <c r="D172" s="59" t="s">
        <v>428</v>
      </c>
      <c r="E172" s="75" t="s">
        <v>287</v>
      </c>
    </row>
    <row r="173" spans="2:5" ht="60">
      <c r="B173" s="67" t="s">
        <v>425</v>
      </c>
      <c r="C173" s="70">
        <f>0.00895*C171</f>
        <v>21.48</v>
      </c>
      <c r="D173" s="59" t="s">
        <v>427</v>
      </c>
      <c r="E173" s="75" t="s">
        <v>254</v>
      </c>
    </row>
    <row r="174" spans="2:5" ht="60">
      <c r="B174" s="67" t="s">
        <v>256</v>
      </c>
      <c r="C174" s="70">
        <v>9.76</v>
      </c>
      <c r="D174" s="59" t="s">
        <v>424</v>
      </c>
      <c r="E174" s="34" t="s">
        <v>255</v>
      </c>
    </row>
    <row r="175" spans="2:5">
      <c r="B175" s="250" t="s">
        <v>123</v>
      </c>
      <c r="C175" s="250"/>
      <c r="D175" s="250"/>
      <c r="E175" s="250"/>
    </row>
    <row r="176" spans="2:5" ht="30">
      <c r="B176" s="59" t="s">
        <v>420</v>
      </c>
      <c r="C176" s="55">
        <f>0.7*C171</f>
        <v>1680</v>
      </c>
      <c r="D176" s="59" t="s">
        <v>423</v>
      </c>
      <c r="E176" s="58"/>
    </row>
    <row r="177" spans="2:6" ht="30">
      <c r="B177" s="59" t="s">
        <v>251</v>
      </c>
      <c r="C177" s="59">
        <f>C171*0.3</f>
        <v>720</v>
      </c>
      <c r="D177" s="59" t="s">
        <v>421</v>
      </c>
      <c r="E177" s="59"/>
    </row>
    <row r="178" spans="2:6" ht="15.75" thickBot="1"/>
    <row r="179" spans="2:6" ht="15.75" thickBot="1">
      <c r="B179" s="312" t="s">
        <v>277</v>
      </c>
      <c r="C179" s="313"/>
      <c r="D179" s="313"/>
      <c r="E179" s="314"/>
    </row>
    <row r="181" spans="2:6">
      <c r="B181" s="250" t="s">
        <v>101</v>
      </c>
      <c r="C181" s="250"/>
      <c r="D181" s="250"/>
      <c r="E181" s="250"/>
    </row>
    <row r="182" spans="2:6">
      <c r="B182" s="42" t="s">
        <v>66</v>
      </c>
      <c r="C182" s="42" t="s">
        <v>253</v>
      </c>
      <c r="D182" s="42" t="s">
        <v>87</v>
      </c>
      <c r="E182" s="42" t="s">
        <v>102</v>
      </c>
    </row>
    <row r="183" spans="2:6">
      <c r="B183" s="59" t="s">
        <v>429</v>
      </c>
      <c r="C183" s="55">
        <f>C177</f>
        <v>720</v>
      </c>
      <c r="D183" s="59" t="s">
        <v>430</v>
      </c>
      <c r="E183" s="76" t="s">
        <v>539</v>
      </c>
    </row>
    <row r="184" spans="2:6">
      <c r="B184" s="250" t="s">
        <v>123</v>
      </c>
      <c r="C184" s="250"/>
      <c r="D184" s="250"/>
      <c r="E184" s="250"/>
    </row>
    <row r="185" spans="2:6">
      <c r="B185" s="59" t="s">
        <v>279</v>
      </c>
      <c r="C185" s="55">
        <f>C183</f>
        <v>720</v>
      </c>
      <c r="D185" s="55" t="s">
        <v>431</v>
      </c>
      <c r="E185" s="58"/>
    </row>
    <row r="187" spans="2:6">
      <c r="B187" s="38" t="s">
        <v>176</v>
      </c>
    </row>
    <row r="189" spans="2:6">
      <c r="B189" s="250" t="s">
        <v>300</v>
      </c>
      <c r="C189" s="250"/>
      <c r="D189" s="250"/>
      <c r="E189" s="250"/>
      <c r="F189" s="105"/>
    </row>
    <row r="190" spans="2:6">
      <c r="B190" s="1" t="s">
        <v>162</v>
      </c>
      <c r="C190" s="58" t="s">
        <v>81</v>
      </c>
      <c r="D190" s="58" t="s">
        <v>175</v>
      </c>
      <c r="E190" s="58" t="s">
        <v>177</v>
      </c>
      <c r="F190" s="106"/>
    </row>
    <row r="191" spans="2:6">
      <c r="B191" s="36" t="s">
        <v>163</v>
      </c>
      <c r="C191" s="44">
        <v>9.2199999999999998E-6</v>
      </c>
      <c r="D191" s="57">
        <v>3.8800000000000001E-6</v>
      </c>
      <c r="E191" s="44">
        <v>4.4900000000000002E-4</v>
      </c>
    </row>
    <row r="192" spans="2:6">
      <c r="B192" s="36" t="s">
        <v>164</v>
      </c>
      <c r="C192" s="44">
        <v>1030</v>
      </c>
      <c r="D192" s="57">
        <v>137</v>
      </c>
      <c r="E192" s="44">
        <v>1140</v>
      </c>
    </row>
    <row r="193" spans="2:10">
      <c r="B193" s="36" t="s">
        <v>165</v>
      </c>
      <c r="C193" s="44">
        <v>3.6299999999999999E-2</v>
      </c>
      <c r="D193" s="57">
        <v>6.1199999999999997E-2</v>
      </c>
      <c r="E193" s="44">
        <v>0.108</v>
      </c>
    </row>
    <row r="194" spans="2:10">
      <c r="B194" s="36" t="s">
        <v>166</v>
      </c>
      <c r="C194" s="44">
        <v>6.2300000000000003E-3</v>
      </c>
      <c r="D194" s="57">
        <v>6.8500000000000002E-3</v>
      </c>
      <c r="E194" s="44">
        <v>1.8100000000000002E-2</v>
      </c>
    </row>
    <row r="195" spans="2:10">
      <c r="B195" s="36" t="s">
        <v>167</v>
      </c>
      <c r="C195" s="44">
        <v>0.40500000000000003</v>
      </c>
      <c r="D195" s="57">
        <v>4.2299999999999997E-2</v>
      </c>
      <c r="E195" s="44">
        <v>0.10100000000000001</v>
      </c>
    </row>
    <row r="196" spans="2:10">
      <c r="B196" s="36" t="s">
        <v>168</v>
      </c>
      <c r="C196" s="44">
        <v>7.63</v>
      </c>
      <c r="D196" s="57">
        <v>10.199999999999999</v>
      </c>
      <c r="E196" s="44">
        <v>156</v>
      </c>
    </row>
    <row r="197" spans="2:10" ht="30">
      <c r="B197" s="36" t="s">
        <v>169</v>
      </c>
      <c r="C197" s="44">
        <v>11.6</v>
      </c>
      <c r="D197" s="57">
        <v>10.6</v>
      </c>
      <c r="E197" s="44">
        <v>156</v>
      </c>
    </row>
    <row r="198" spans="2:10">
      <c r="B198" s="36" t="s">
        <v>170</v>
      </c>
      <c r="C198" s="44">
        <v>1.32</v>
      </c>
      <c r="D198" s="57">
        <v>0.52600000000000002</v>
      </c>
      <c r="E198" s="44">
        <v>4.6100000000000003</v>
      </c>
    </row>
    <row r="199" spans="2:10">
      <c r="B199" s="36" t="s">
        <v>171</v>
      </c>
      <c r="C199" s="44">
        <v>1330</v>
      </c>
      <c r="D199" s="57">
        <v>2210</v>
      </c>
      <c r="E199" s="44">
        <v>3890</v>
      </c>
    </row>
    <row r="200" spans="2:10" ht="30">
      <c r="B200" s="36" t="s">
        <v>172</v>
      </c>
      <c r="C200" s="44">
        <v>6.2800000000000005E-11</v>
      </c>
      <c r="D200" s="57">
        <v>3.0099999999999998E-11</v>
      </c>
      <c r="E200" s="44">
        <v>5.2700000000000004E-10</v>
      </c>
    </row>
    <row r="201" spans="2:10">
      <c r="B201" s="36" t="s">
        <v>173</v>
      </c>
      <c r="C201" s="44">
        <v>5.4900000000000001E-3</v>
      </c>
      <c r="D201" s="57">
        <v>4.7699999999999999E-3</v>
      </c>
      <c r="E201" s="44">
        <v>9.3100000000000006E-3</v>
      </c>
    </row>
    <row r="202" spans="2:10">
      <c r="B202" s="36" t="s">
        <v>174</v>
      </c>
      <c r="C202" s="44">
        <v>0.152</v>
      </c>
      <c r="D202" s="57">
        <v>0.28299999999999997</v>
      </c>
      <c r="E202" s="44">
        <v>0.19500000000000001</v>
      </c>
    </row>
    <row r="203" spans="2:10" ht="15.75" thickBot="1"/>
    <row r="204" spans="2:10" ht="15.75" thickBot="1">
      <c r="B204" s="33" t="s">
        <v>178</v>
      </c>
      <c r="C204" s="32" t="s">
        <v>187</v>
      </c>
    </row>
    <row r="206" spans="2:10">
      <c r="B206" s="251" t="s">
        <v>300</v>
      </c>
      <c r="C206" s="251"/>
      <c r="D206" s="251"/>
      <c r="E206" s="251"/>
      <c r="F206" s="251"/>
      <c r="G206" s="251"/>
      <c r="H206" s="251"/>
      <c r="I206" s="251"/>
      <c r="J206" s="251"/>
    </row>
    <row r="207" spans="2:10">
      <c r="B207" s="42" t="s">
        <v>179</v>
      </c>
      <c r="C207" s="42" t="s">
        <v>33</v>
      </c>
      <c r="D207" s="42" t="s">
        <v>34</v>
      </c>
      <c r="E207" s="42" t="s">
        <v>35</v>
      </c>
      <c r="F207" s="42" t="s">
        <v>50</v>
      </c>
      <c r="G207" s="252" t="s">
        <v>196</v>
      </c>
      <c r="H207" s="253"/>
      <c r="I207" s="119" t="s">
        <v>189</v>
      </c>
      <c r="J207" s="42" t="s">
        <v>190</v>
      </c>
    </row>
    <row r="208" spans="2:10" ht="87" customHeight="1">
      <c r="B208" s="187" t="s">
        <v>2</v>
      </c>
      <c r="C208" s="182" t="s">
        <v>194</v>
      </c>
      <c r="D208" s="182" t="s">
        <v>289</v>
      </c>
      <c r="E208" s="182" t="s">
        <v>565</v>
      </c>
      <c r="F208" s="187"/>
      <c r="G208" s="333" t="s">
        <v>634</v>
      </c>
      <c r="H208" s="335" t="s">
        <v>635</v>
      </c>
      <c r="I208" s="268">
        <v>0.5</v>
      </c>
      <c r="J208" s="182" t="s">
        <v>290</v>
      </c>
    </row>
    <row r="209" spans="2:11" ht="1.5" customHeight="1">
      <c r="B209" s="188"/>
      <c r="C209" s="183"/>
      <c r="D209" s="183"/>
      <c r="E209" s="183"/>
      <c r="F209" s="188"/>
      <c r="G209" s="334"/>
      <c r="H209" s="336"/>
      <c r="I209" s="270"/>
      <c r="J209" s="183"/>
    </row>
    <row r="210" spans="2:11" ht="39.75" customHeight="1">
      <c r="B210" s="187" t="s">
        <v>180</v>
      </c>
      <c r="C210" s="182" t="s">
        <v>576</v>
      </c>
      <c r="D210" s="182" t="s">
        <v>200</v>
      </c>
      <c r="E210" s="182" t="s">
        <v>551</v>
      </c>
      <c r="F210" s="185"/>
      <c r="G210" s="52" t="s">
        <v>637</v>
      </c>
      <c r="H210" s="50" t="s">
        <v>294</v>
      </c>
      <c r="I210" s="268">
        <v>0</v>
      </c>
      <c r="J210" s="182" t="s">
        <v>577</v>
      </c>
    </row>
    <row r="211" spans="2:11" ht="39.75" customHeight="1">
      <c r="B211" s="188"/>
      <c r="C211" s="183"/>
      <c r="D211" s="183"/>
      <c r="E211" s="183"/>
      <c r="F211" s="186"/>
      <c r="G211" s="36" t="s">
        <v>636</v>
      </c>
      <c r="H211" s="34" t="s">
        <v>575</v>
      </c>
      <c r="I211" s="270"/>
      <c r="J211" s="183"/>
    </row>
    <row r="212" spans="2:11" ht="30" customHeight="1">
      <c r="B212" s="187" t="s">
        <v>181</v>
      </c>
      <c r="C212" s="182" t="s">
        <v>569</v>
      </c>
      <c r="D212" s="182" t="s">
        <v>202</v>
      </c>
      <c r="E212" s="182" t="s">
        <v>296</v>
      </c>
      <c r="F212" s="182" t="s">
        <v>551</v>
      </c>
      <c r="G212" s="337" t="s">
        <v>746</v>
      </c>
      <c r="H212" s="187" t="s">
        <v>747</v>
      </c>
      <c r="I212" s="304" t="s">
        <v>748</v>
      </c>
      <c r="J212" s="182" t="s">
        <v>638</v>
      </c>
      <c r="K212" s="77"/>
    </row>
    <row r="213" spans="2:11">
      <c r="B213" s="188"/>
      <c r="C213" s="183"/>
      <c r="D213" s="183"/>
      <c r="E213" s="183"/>
      <c r="F213" s="183"/>
      <c r="G213" s="338"/>
      <c r="H213" s="188"/>
      <c r="I213" s="306"/>
      <c r="J213" s="183"/>
      <c r="K213" s="128"/>
    </row>
    <row r="214" spans="2:11" ht="120">
      <c r="B214" s="37" t="s">
        <v>7</v>
      </c>
      <c r="C214" s="36" t="s">
        <v>640</v>
      </c>
      <c r="D214" s="36" t="s">
        <v>641</v>
      </c>
      <c r="E214" s="36" t="s">
        <v>642</v>
      </c>
      <c r="F214" s="36" t="s">
        <v>299</v>
      </c>
      <c r="G214" s="52" t="s">
        <v>643</v>
      </c>
      <c r="H214" s="79" t="s">
        <v>644</v>
      </c>
      <c r="I214" s="120">
        <v>1</v>
      </c>
      <c r="J214" s="45" t="s">
        <v>578</v>
      </c>
    </row>
    <row r="215" spans="2:11" ht="157.5" customHeight="1">
      <c r="B215" s="187" t="s">
        <v>183</v>
      </c>
      <c r="C215" s="182" t="s">
        <v>640</v>
      </c>
      <c r="D215" s="182" t="s">
        <v>641</v>
      </c>
      <c r="E215" s="182" t="s">
        <v>298</v>
      </c>
      <c r="F215" s="182" t="s">
        <v>645</v>
      </c>
      <c r="G215" s="307" t="s">
        <v>646</v>
      </c>
      <c r="H215" s="308" t="s">
        <v>647</v>
      </c>
      <c r="I215" s="300">
        <v>0.52</v>
      </c>
      <c r="J215" s="309" t="s">
        <v>648</v>
      </c>
      <c r="K215" s="330"/>
    </row>
    <row r="216" spans="2:11" ht="15.75" customHeight="1">
      <c r="B216" s="303"/>
      <c r="C216" s="299"/>
      <c r="D216" s="299"/>
      <c r="E216" s="299"/>
      <c r="F216" s="299"/>
      <c r="G216" s="307"/>
      <c r="H216" s="308"/>
      <c r="I216" s="301"/>
      <c r="J216" s="299"/>
      <c r="K216" s="331"/>
    </row>
    <row r="217" spans="2:11" ht="15.75" customHeight="1">
      <c r="B217" s="188"/>
      <c r="C217" s="183"/>
      <c r="D217" s="183"/>
      <c r="E217" s="183"/>
      <c r="F217" s="183"/>
      <c r="G217" s="307"/>
      <c r="H217" s="308"/>
      <c r="I217" s="302"/>
      <c r="J217" s="183"/>
      <c r="K217" s="332"/>
    </row>
    <row r="218" spans="2:11" ht="30">
      <c r="B218" s="187" t="s">
        <v>184</v>
      </c>
      <c r="C218" s="182" t="s">
        <v>640</v>
      </c>
      <c r="D218" s="182" t="s">
        <v>641</v>
      </c>
      <c r="E218" s="182" t="s">
        <v>298</v>
      </c>
      <c r="F218" s="182" t="s">
        <v>645</v>
      </c>
      <c r="G218" s="52" t="s">
        <v>649</v>
      </c>
      <c r="H218" s="36" t="s">
        <v>647</v>
      </c>
      <c r="I218" s="304" t="s">
        <v>639</v>
      </c>
      <c r="J218" s="182" t="s">
        <v>656</v>
      </c>
    </row>
    <row r="219" spans="2:11" ht="30">
      <c r="B219" s="303"/>
      <c r="C219" s="299"/>
      <c r="D219" s="299"/>
      <c r="E219" s="299"/>
      <c r="F219" s="299"/>
      <c r="G219" s="69" t="s">
        <v>650</v>
      </c>
      <c r="H219" s="36" t="s">
        <v>651</v>
      </c>
      <c r="I219" s="305"/>
      <c r="J219" s="299"/>
    </row>
    <row r="220" spans="2:11" ht="45">
      <c r="B220" s="303"/>
      <c r="C220" s="299"/>
      <c r="D220" s="299"/>
      <c r="E220" s="299"/>
      <c r="F220" s="299"/>
      <c r="G220" s="69" t="s">
        <v>654</v>
      </c>
      <c r="H220" s="36" t="s">
        <v>652</v>
      </c>
      <c r="I220" s="305"/>
      <c r="J220" s="299"/>
    </row>
    <row r="221" spans="2:11" ht="30">
      <c r="B221" s="303"/>
      <c r="C221" s="299"/>
      <c r="D221" s="299"/>
      <c r="E221" s="299"/>
      <c r="F221" s="299"/>
      <c r="G221" s="69" t="s">
        <v>750</v>
      </c>
      <c r="H221" s="155" t="s">
        <v>751</v>
      </c>
      <c r="I221" s="305"/>
      <c r="J221" s="299"/>
    </row>
    <row r="222" spans="2:11" ht="30">
      <c r="B222" s="188"/>
      <c r="C222" s="183"/>
      <c r="D222" s="183"/>
      <c r="E222" s="183"/>
      <c r="F222" s="183"/>
      <c r="G222" s="69" t="s">
        <v>655</v>
      </c>
      <c r="H222" s="78" t="s">
        <v>653</v>
      </c>
      <c r="I222" s="306"/>
      <c r="J222" s="183"/>
    </row>
    <row r="225" spans="2:4">
      <c r="B225" s="24"/>
      <c r="C225" s="77"/>
      <c r="D225" s="24"/>
    </row>
    <row r="251" spans="2:2">
      <c r="B251" t="s">
        <v>680</v>
      </c>
    </row>
  </sheetData>
  <autoFilter ref="B135:J147" xr:uid="{E31D6056-A055-4D9F-AE85-C3BE1BA82FE9}">
    <filterColumn colId="0" showButton="0"/>
    <filterColumn colId="1" showButton="0"/>
    <filterColumn colId="2" showButton="0"/>
    <filterColumn colId="3" showButton="0"/>
    <filterColumn colId="4" showButton="0"/>
    <filterColumn colId="5" showButton="0"/>
    <filterColumn colId="6" showButton="0">
      <iconFilter iconSet="3Arrows"/>
    </filterColumn>
    <filterColumn colId="7" showButton="0"/>
  </autoFilter>
  <mergeCells count="109">
    <mergeCell ref="K215:K217"/>
    <mergeCell ref="G208:G209"/>
    <mergeCell ref="H208:H209"/>
    <mergeCell ref="B210:B211"/>
    <mergeCell ref="C210:C211"/>
    <mergeCell ref="D210:D211"/>
    <mergeCell ref="E210:E211"/>
    <mergeCell ref="F210:F211"/>
    <mergeCell ref="I210:I211"/>
    <mergeCell ref="J210:J211"/>
    <mergeCell ref="B212:B213"/>
    <mergeCell ref="C212:C213"/>
    <mergeCell ref="D212:D213"/>
    <mergeCell ref="E212:E213"/>
    <mergeCell ref="F212:F213"/>
    <mergeCell ref="I212:I213"/>
    <mergeCell ref="J212:J213"/>
    <mergeCell ref="G212:G213"/>
    <mergeCell ref="H212:H213"/>
    <mergeCell ref="B38:M38"/>
    <mergeCell ref="B27:C27"/>
    <mergeCell ref="D27:E27"/>
    <mergeCell ref="B31:B35"/>
    <mergeCell ref="C31:C35"/>
    <mergeCell ref="B44:E44"/>
    <mergeCell ref="B49:E49"/>
    <mergeCell ref="B42:E42"/>
    <mergeCell ref="B54:E54"/>
    <mergeCell ref="E46:E47"/>
    <mergeCell ref="B73:E73"/>
    <mergeCell ref="B66:E66"/>
    <mergeCell ref="B79:E79"/>
    <mergeCell ref="B80:E80"/>
    <mergeCell ref="B57:E57"/>
    <mergeCell ref="B62:E62"/>
    <mergeCell ref="B67:E67"/>
    <mergeCell ref="G102:Q102"/>
    <mergeCell ref="B84:E84"/>
    <mergeCell ref="B88:E88"/>
    <mergeCell ref="B90:E90"/>
    <mergeCell ref="B93:E93"/>
    <mergeCell ref="B96:E96"/>
    <mergeCell ref="B104:E104"/>
    <mergeCell ref="B113:E113"/>
    <mergeCell ref="B99:E99"/>
    <mergeCell ref="B102:E102"/>
    <mergeCell ref="B118:E118"/>
    <mergeCell ref="B135:J135"/>
    <mergeCell ref="G136:H136"/>
    <mergeCell ref="F137:F138"/>
    <mergeCell ref="E137:E138"/>
    <mergeCell ref="D137:D138"/>
    <mergeCell ref="C137:C138"/>
    <mergeCell ref="I137:I138"/>
    <mergeCell ref="J137:J138"/>
    <mergeCell ref="B137:B138"/>
    <mergeCell ref="E142:E145"/>
    <mergeCell ref="F142:F145"/>
    <mergeCell ref="B150:M150"/>
    <mergeCell ref="B154:E154"/>
    <mergeCell ref="B156:E156"/>
    <mergeCell ref="I142:I145"/>
    <mergeCell ref="F146:F147"/>
    <mergeCell ref="E146:E147"/>
    <mergeCell ref="D146:D147"/>
    <mergeCell ref="B142:B145"/>
    <mergeCell ref="C142:C145"/>
    <mergeCell ref="D142:D145"/>
    <mergeCell ref="K142:K145"/>
    <mergeCell ref="K146:K147"/>
    <mergeCell ref="J142:J145"/>
    <mergeCell ref="B161:E161"/>
    <mergeCell ref="C146:C147"/>
    <mergeCell ref="B146:B147"/>
    <mergeCell ref="I146:I147"/>
    <mergeCell ref="J146:J147"/>
    <mergeCell ref="B179:E179"/>
    <mergeCell ref="B181:E181"/>
    <mergeCell ref="B184:E184"/>
    <mergeCell ref="B164:E164"/>
    <mergeCell ref="B166:E166"/>
    <mergeCell ref="B169:E169"/>
    <mergeCell ref="B175:E175"/>
    <mergeCell ref="B189:E189"/>
    <mergeCell ref="B206:J206"/>
    <mergeCell ref="G207:H207"/>
    <mergeCell ref="B208:B209"/>
    <mergeCell ref="C208:C209"/>
    <mergeCell ref="D208:D209"/>
    <mergeCell ref="E208:E209"/>
    <mergeCell ref="F208:F209"/>
    <mergeCell ref="I208:I209"/>
    <mergeCell ref="J208:J209"/>
    <mergeCell ref="J218:J222"/>
    <mergeCell ref="I215:I217"/>
    <mergeCell ref="B218:B222"/>
    <mergeCell ref="C218:C222"/>
    <mergeCell ref="D218:D222"/>
    <mergeCell ref="E218:E222"/>
    <mergeCell ref="F218:F222"/>
    <mergeCell ref="I218:I222"/>
    <mergeCell ref="B215:B217"/>
    <mergeCell ref="C215:C217"/>
    <mergeCell ref="D215:D217"/>
    <mergeCell ref="E215:E217"/>
    <mergeCell ref="F215:F217"/>
    <mergeCell ref="G215:G217"/>
    <mergeCell ref="H215:H217"/>
    <mergeCell ref="J215:J217"/>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D022-F6D0-48B9-9BC5-EED647D91216}">
  <dimension ref="A1:Z99"/>
  <sheetViews>
    <sheetView zoomScale="83" workbookViewId="0">
      <selection activeCell="K25" sqref="K25"/>
    </sheetView>
  </sheetViews>
  <sheetFormatPr baseColWidth="10" defaultColWidth="10.85546875" defaultRowHeight="15"/>
  <sheetData>
    <row r="1" spans="1:26" ht="21">
      <c r="A1" s="11" t="s">
        <v>304</v>
      </c>
    </row>
    <row r="3" spans="1:26" ht="15.75">
      <c r="B3" s="342" t="s">
        <v>305</v>
      </c>
      <c r="C3" s="81" t="s">
        <v>306</v>
      </c>
      <c r="D3" s="82">
        <v>1322</v>
      </c>
      <c r="F3" s="83" t="s">
        <v>307</v>
      </c>
    </row>
    <row r="4" spans="1:26">
      <c r="B4" s="342"/>
      <c r="C4" s="45" t="s">
        <v>308</v>
      </c>
      <c r="D4" s="84">
        <v>330.5</v>
      </c>
    </row>
    <row r="5" spans="1:26">
      <c r="B5" s="342"/>
      <c r="C5" s="81" t="s">
        <v>309</v>
      </c>
      <c r="D5" s="82">
        <v>6</v>
      </c>
      <c r="F5" s="85" t="s">
        <v>310</v>
      </c>
      <c r="G5" t="s">
        <v>311</v>
      </c>
      <c r="J5" s="25" t="s">
        <v>312</v>
      </c>
      <c r="K5" t="s">
        <v>313</v>
      </c>
    </row>
    <row r="6" spans="1:26">
      <c r="B6" s="342"/>
      <c r="C6" s="37" t="s">
        <v>314</v>
      </c>
      <c r="D6" s="84">
        <v>280</v>
      </c>
      <c r="F6" s="86" t="s">
        <v>315</v>
      </c>
      <c r="G6" s="25" t="s">
        <v>316</v>
      </c>
      <c r="H6" s="87">
        <f>D8/(D6+D7)</f>
        <v>0.42666666666666669</v>
      </c>
      <c r="J6" s="25" t="s">
        <v>317</v>
      </c>
      <c r="K6" t="s">
        <v>318</v>
      </c>
    </row>
    <row r="7" spans="1:26">
      <c r="B7" s="342"/>
      <c r="C7" s="88" t="s">
        <v>319</v>
      </c>
      <c r="D7" s="82">
        <v>95</v>
      </c>
      <c r="F7" s="85"/>
      <c r="J7" s="25" t="s">
        <v>320</v>
      </c>
      <c r="K7" t="s">
        <v>321</v>
      </c>
    </row>
    <row r="8" spans="1:26">
      <c r="B8" s="342"/>
      <c r="C8" s="45" t="s">
        <v>322</v>
      </c>
      <c r="D8" s="84">
        <v>160</v>
      </c>
    </row>
    <row r="9" spans="1:26">
      <c r="B9" s="342"/>
      <c r="C9" s="81" t="s">
        <v>323</v>
      </c>
      <c r="D9" s="82">
        <v>9.8000000000000007</v>
      </c>
      <c r="F9" t="s">
        <v>324</v>
      </c>
      <c r="S9" s="85"/>
      <c r="W9" s="25"/>
    </row>
    <row r="10" spans="1:26">
      <c r="B10" s="89"/>
      <c r="C10" s="90"/>
      <c r="D10" s="24"/>
      <c r="G10" t="s">
        <v>325</v>
      </c>
      <c r="K10" s="25">
        <v>60</v>
      </c>
      <c r="L10" t="s">
        <v>326</v>
      </c>
      <c r="S10" s="85"/>
      <c r="T10" s="25"/>
      <c r="U10" s="25"/>
      <c r="W10" s="25"/>
    </row>
    <row r="11" spans="1:26">
      <c r="B11" s="89"/>
      <c r="C11" s="90"/>
      <c r="D11" s="24"/>
      <c r="S11" s="85"/>
      <c r="U11" s="25"/>
      <c r="W11" s="25"/>
      <c r="X11" s="85"/>
      <c r="Y11" s="85"/>
      <c r="Z11" s="25"/>
    </row>
    <row r="12" spans="1:26">
      <c r="B12" s="89"/>
      <c r="C12" s="90"/>
      <c r="D12" s="24"/>
      <c r="F12" s="85" t="s">
        <v>327</v>
      </c>
      <c r="G12" s="205" t="s">
        <v>328</v>
      </c>
      <c r="H12" s="205"/>
      <c r="I12" s="25">
        <f>0.92*K10</f>
        <v>55.2</v>
      </c>
      <c r="J12" t="s">
        <v>326</v>
      </c>
      <c r="U12" s="25"/>
    </row>
    <row r="13" spans="1:26">
      <c r="B13" s="89"/>
      <c r="C13" s="90"/>
      <c r="D13" s="24"/>
      <c r="S13" s="85"/>
      <c r="U13" s="25"/>
      <c r="W13" s="25"/>
    </row>
    <row r="14" spans="1:26">
      <c r="F14" t="s">
        <v>329</v>
      </c>
      <c r="J14" t="s">
        <v>330</v>
      </c>
      <c r="S14" s="85"/>
      <c r="T14" s="25"/>
      <c r="U14" s="25"/>
      <c r="X14" s="85"/>
      <c r="Y14" s="85"/>
      <c r="Z14" s="25"/>
    </row>
    <row r="15" spans="1:26">
      <c r="G15" s="85" t="s">
        <v>331</v>
      </c>
      <c r="H15" s="85" t="s">
        <v>332</v>
      </c>
      <c r="I15" s="25">
        <v>9</v>
      </c>
      <c r="J15" t="s">
        <v>326</v>
      </c>
    </row>
    <row r="16" spans="1:26">
      <c r="G16" s="85"/>
      <c r="H16" s="85"/>
      <c r="I16" s="25"/>
    </row>
    <row r="17" spans="1:14">
      <c r="F17" s="85" t="s">
        <v>333</v>
      </c>
      <c r="G17" s="205" t="s">
        <v>334</v>
      </c>
      <c r="H17" s="205"/>
      <c r="I17" s="25">
        <f>I12-I15</f>
        <v>46.2</v>
      </c>
      <c r="J17" t="s">
        <v>326</v>
      </c>
    </row>
    <row r="18" spans="1:14">
      <c r="G18" s="85"/>
      <c r="H18" s="85"/>
      <c r="I18" s="25"/>
    </row>
    <row r="19" spans="1:14" ht="15.75">
      <c r="I19" s="91" t="s">
        <v>335</v>
      </c>
      <c r="N19" s="92" t="s">
        <v>336</v>
      </c>
    </row>
    <row r="20" spans="1:14" ht="15.75">
      <c r="I20" s="93" t="s">
        <v>337</v>
      </c>
    </row>
    <row r="23" spans="1:14" ht="21">
      <c r="A23" s="11" t="s">
        <v>338</v>
      </c>
      <c r="F23" t="s">
        <v>339</v>
      </c>
    </row>
    <row r="24" spans="1:14" ht="21">
      <c r="A24" s="11"/>
    </row>
    <row r="25" spans="1:14" ht="21">
      <c r="A25" s="11"/>
      <c r="B25" s="94" t="s">
        <v>340</v>
      </c>
    </row>
    <row r="26" spans="1:14" ht="21">
      <c r="A26" s="11"/>
    </row>
    <row r="27" spans="1:14">
      <c r="B27" t="s">
        <v>341</v>
      </c>
      <c r="D27" t="s">
        <v>342</v>
      </c>
    </row>
    <row r="28" spans="1:14">
      <c r="B28" t="s">
        <v>343</v>
      </c>
      <c r="G28" t="s">
        <v>344</v>
      </c>
    </row>
    <row r="29" spans="1:14">
      <c r="C29" s="85" t="s">
        <v>345</v>
      </c>
      <c r="D29" s="25" t="s">
        <v>346</v>
      </c>
    </row>
    <row r="30" spans="1:14">
      <c r="D30" s="4" t="s">
        <v>347</v>
      </c>
    </row>
    <row r="31" spans="1:14">
      <c r="E31" t="s">
        <v>348</v>
      </c>
    </row>
    <row r="33" spans="2:11">
      <c r="B33" t="s">
        <v>349</v>
      </c>
      <c r="K33" t="s">
        <v>350</v>
      </c>
    </row>
    <row r="34" spans="2:11">
      <c r="B34" t="s">
        <v>351</v>
      </c>
    </row>
    <row r="35" spans="2:11">
      <c r="B35" t="s">
        <v>352</v>
      </c>
      <c r="E35" s="25">
        <v>2600</v>
      </c>
      <c r="F35" t="s">
        <v>353</v>
      </c>
      <c r="G35" t="s">
        <v>354</v>
      </c>
    </row>
    <row r="36" spans="2:11">
      <c r="C36" t="s">
        <v>355</v>
      </c>
      <c r="G36" t="s">
        <v>356</v>
      </c>
      <c r="H36" t="s">
        <v>357</v>
      </c>
    </row>
    <row r="37" spans="2:11">
      <c r="B37" t="s">
        <v>358</v>
      </c>
      <c r="D37" s="25">
        <v>3100</v>
      </c>
      <c r="E37" t="s">
        <v>353</v>
      </c>
    </row>
    <row r="39" spans="2:11">
      <c r="B39" t="s">
        <v>359</v>
      </c>
    </row>
    <row r="40" spans="2:11">
      <c r="C40" t="s">
        <v>360</v>
      </c>
    </row>
    <row r="41" spans="2:11">
      <c r="C41" t="s">
        <v>361</v>
      </c>
      <c r="D41" t="s">
        <v>362</v>
      </c>
    </row>
    <row r="42" spans="2:11">
      <c r="C42" s="85" t="s">
        <v>345</v>
      </c>
      <c r="D42" s="25" t="s">
        <v>363</v>
      </c>
    </row>
    <row r="43" spans="2:11">
      <c r="E43" t="s">
        <v>364</v>
      </c>
    </row>
    <row r="44" spans="2:11">
      <c r="E44" t="s">
        <v>365</v>
      </c>
    </row>
    <row r="45" spans="2:11">
      <c r="E45" t="s">
        <v>366</v>
      </c>
    </row>
    <row r="46" spans="2:11" ht="15.75">
      <c r="C46" s="95" t="s">
        <v>367</v>
      </c>
    </row>
    <row r="47" spans="2:11">
      <c r="C47" t="s">
        <v>368</v>
      </c>
    </row>
    <row r="48" spans="2:11">
      <c r="D48" t="s">
        <v>369</v>
      </c>
    </row>
    <row r="50" spans="2:12">
      <c r="B50" t="s">
        <v>370</v>
      </c>
    </row>
    <row r="52" spans="2:12">
      <c r="B52" t="s">
        <v>371</v>
      </c>
    </row>
    <row r="53" spans="2:12">
      <c r="C53" s="85" t="s">
        <v>345</v>
      </c>
      <c r="D53" s="85" t="s">
        <v>372</v>
      </c>
      <c r="E53" s="25">
        <v>320</v>
      </c>
      <c r="F53" t="s">
        <v>353</v>
      </c>
    </row>
    <row r="54" spans="2:12">
      <c r="D54" s="85" t="s">
        <v>373</v>
      </c>
      <c r="E54" s="25">
        <v>0.55000000000000004</v>
      </c>
    </row>
    <row r="55" spans="2:12">
      <c r="D55" s="85" t="s">
        <v>374</v>
      </c>
      <c r="E55" s="25" t="s">
        <v>346</v>
      </c>
    </row>
    <row r="57" spans="2:12">
      <c r="B57" t="s">
        <v>329</v>
      </c>
      <c r="F57" t="s">
        <v>330</v>
      </c>
    </row>
    <row r="58" spans="2:12">
      <c r="C58" s="85" t="s">
        <v>331</v>
      </c>
      <c r="D58" s="85" t="s">
        <v>332</v>
      </c>
      <c r="E58" s="25">
        <v>9</v>
      </c>
      <c r="F58" t="s">
        <v>326</v>
      </c>
      <c r="H58" s="85" t="s">
        <v>375</v>
      </c>
      <c r="I58" s="205" t="s">
        <v>376</v>
      </c>
      <c r="J58" s="205"/>
      <c r="K58" s="25">
        <f>37+E58</f>
        <v>46</v>
      </c>
      <c r="L58" t="s">
        <v>326</v>
      </c>
    </row>
    <row r="60" spans="2:12">
      <c r="H60" t="s">
        <v>377</v>
      </c>
    </row>
    <row r="61" spans="2:12">
      <c r="H61" s="85" t="s">
        <v>327</v>
      </c>
      <c r="I61" s="205" t="s">
        <v>378</v>
      </c>
      <c r="J61" s="205"/>
    </row>
    <row r="62" spans="2:12">
      <c r="H62" s="85" t="s">
        <v>379</v>
      </c>
      <c r="I62" s="205" t="s">
        <v>380</v>
      </c>
      <c r="J62" s="205"/>
      <c r="K62" s="25">
        <f>K58/0.92</f>
        <v>50</v>
      </c>
      <c r="L62" t="s">
        <v>326</v>
      </c>
    </row>
    <row r="64" spans="2:12">
      <c r="H64" t="s">
        <v>381</v>
      </c>
    </row>
    <row r="65" spans="9:20">
      <c r="I65" t="s">
        <v>382</v>
      </c>
      <c r="N65" s="4" t="s">
        <v>383</v>
      </c>
    </row>
    <row r="66" spans="9:20" ht="15.75">
      <c r="K66" s="85" t="s">
        <v>331</v>
      </c>
      <c r="L66" s="85" t="s">
        <v>384</v>
      </c>
      <c r="M66" s="25">
        <v>0.5</v>
      </c>
      <c r="P66" s="83" t="s">
        <v>385</v>
      </c>
    </row>
    <row r="68" spans="9:20">
      <c r="P68" t="s">
        <v>386</v>
      </c>
    </row>
    <row r="69" spans="9:20">
      <c r="Q69" s="85" t="s">
        <v>387</v>
      </c>
      <c r="R69" t="s">
        <v>388</v>
      </c>
    </row>
    <row r="70" spans="9:20">
      <c r="Q70" s="85" t="s">
        <v>315</v>
      </c>
      <c r="R70" s="96" t="s">
        <v>389</v>
      </c>
      <c r="S70" s="25">
        <f>M66*E53</f>
        <v>160</v>
      </c>
      <c r="T70" t="s">
        <v>353</v>
      </c>
    </row>
    <row r="71" spans="9:20">
      <c r="S71" s="25"/>
    </row>
    <row r="72" spans="9:20">
      <c r="P72" t="s">
        <v>390</v>
      </c>
      <c r="S72" s="25"/>
    </row>
    <row r="73" spans="9:20">
      <c r="Q73" s="85" t="s">
        <v>391</v>
      </c>
      <c r="R73" t="s">
        <v>392</v>
      </c>
    </row>
    <row r="74" spans="9:20">
      <c r="Q74" s="85" t="s">
        <v>315</v>
      </c>
      <c r="R74" s="96" t="s">
        <v>393</v>
      </c>
      <c r="S74" s="87">
        <f>E53/D37</f>
        <v>0.1032258064516129</v>
      </c>
      <c r="T74" t="s">
        <v>394</v>
      </c>
    </row>
    <row r="75" spans="9:20">
      <c r="T75" s="25"/>
    </row>
    <row r="76" spans="9:20">
      <c r="P76" t="s">
        <v>395</v>
      </c>
      <c r="T76" s="25"/>
    </row>
    <row r="77" spans="9:20">
      <c r="Q77" s="85" t="s">
        <v>396</v>
      </c>
      <c r="R77" t="s">
        <v>397</v>
      </c>
    </row>
    <row r="78" spans="9:20">
      <c r="Q78" s="85" t="s">
        <v>315</v>
      </c>
      <c r="R78" s="25" t="s">
        <v>398</v>
      </c>
      <c r="S78" s="25">
        <f>S70/1000</f>
        <v>0.16</v>
      </c>
      <c r="T78" t="s">
        <v>394</v>
      </c>
    </row>
    <row r="79" spans="9:20">
      <c r="S79" s="25"/>
    </row>
    <row r="80" spans="9:20">
      <c r="P80" t="s">
        <v>399</v>
      </c>
      <c r="S80" s="25"/>
    </row>
    <row r="81" spans="1:26">
      <c r="Q81" s="85" t="s">
        <v>400</v>
      </c>
      <c r="R81" t="s">
        <v>401</v>
      </c>
    </row>
    <row r="82" spans="1:26">
      <c r="Q82" s="85" t="s">
        <v>315</v>
      </c>
      <c r="R82" s="205" t="s">
        <v>402</v>
      </c>
      <c r="S82" s="205"/>
      <c r="T82" s="87">
        <f>1-S74-S78</f>
        <v>0.73677419354838702</v>
      </c>
      <c r="U82" t="s">
        <v>394</v>
      </c>
    </row>
    <row r="83" spans="1:26">
      <c r="S83" s="25"/>
    </row>
    <row r="84" spans="1:26">
      <c r="P84" t="s">
        <v>403</v>
      </c>
      <c r="S84" s="25"/>
      <c r="X84" s="16"/>
      <c r="Y84" s="90"/>
      <c r="Z84" s="24"/>
    </row>
    <row r="85" spans="1:26">
      <c r="Q85" s="85" t="s">
        <v>404</v>
      </c>
      <c r="R85" t="s">
        <v>405</v>
      </c>
      <c r="X85" s="16"/>
      <c r="Y85" s="16"/>
      <c r="Z85" s="24"/>
    </row>
    <row r="86" spans="1:26">
      <c r="Q86" s="85" t="s">
        <v>315</v>
      </c>
      <c r="R86" s="205" t="s">
        <v>406</v>
      </c>
      <c r="S86" s="205"/>
      <c r="T86" s="97">
        <f>T82*E35</f>
        <v>1915.6129032258063</v>
      </c>
      <c r="U86" t="s">
        <v>407</v>
      </c>
      <c r="X86" s="16"/>
      <c r="Y86" s="16"/>
      <c r="Z86" s="24"/>
    </row>
    <row r="87" spans="1:26" ht="15.75" thickBot="1">
      <c r="S87" s="85" t="s">
        <v>408</v>
      </c>
      <c r="T87" s="25">
        <v>1920</v>
      </c>
      <c r="U87" t="s">
        <v>407</v>
      </c>
      <c r="X87" s="16"/>
      <c r="Y87" s="16"/>
      <c r="Z87" s="24"/>
    </row>
    <row r="88" spans="1:26">
      <c r="S88" s="25"/>
      <c r="V88" s="98"/>
      <c r="W88" s="339" t="s">
        <v>305</v>
      </c>
      <c r="X88" s="99" t="s">
        <v>409</v>
      </c>
      <c r="Y88" s="100">
        <v>320</v>
      </c>
    </row>
    <row r="89" spans="1:26">
      <c r="P89" t="s">
        <v>410</v>
      </c>
      <c r="S89" s="25"/>
      <c r="V89" s="98"/>
      <c r="W89" s="340"/>
      <c r="X89" s="45" t="s">
        <v>411</v>
      </c>
      <c r="Y89" s="101">
        <v>1920</v>
      </c>
    </row>
    <row r="90" spans="1:26" ht="15.75" thickBot="1">
      <c r="Q90" s="85" t="s">
        <v>412</v>
      </c>
      <c r="R90" t="s">
        <v>413</v>
      </c>
      <c r="V90" s="98"/>
      <c r="W90" s="341"/>
      <c r="X90" s="102" t="s">
        <v>322</v>
      </c>
      <c r="Y90" s="103">
        <v>160</v>
      </c>
    </row>
    <row r="91" spans="1:26">
      <c r="Q91" s="85" t="s">
        <v>315</v>
      </c>
      <c r="R91" s="205" t="s">
        <v>414</v>
      </c>
      <c r="S91" s="205"/>
      <c r="T91" s="25">
        <f>E53+S70+T87</f>
        <v>2400</v>
      </c>
      <c r="U91" t="s">
        <v>407</v>
      </c>
    </row>
    <row r="92" spans="1:26">
      <c r="S92" s="25"/>
    </row>
    <row r="93" spans="1:26">
      <c r="S93" s="25"/>
      <c r="U93" t="s">
        <v>415</v>
      </c>
    </row>
    <row r="95" spans="1:26" ht="20.25">
      <c r="A95" s="104" t="s">
        <v>416</v>
      </c>
    </row>
    <row r="97" spans="2:3">
      <c r="B97" t="s">
        <v>417</v>
      </c>
    </row>
    <row r="98" spans="2:3">
      <c r="C98" t="s">
        <v>418</v>
      </c>
    </row>
    <row r="99" spans="2:3">
      <c r="C99" t="s">
        <v>419</v>
      </c>
    </row>
  </sheetData>
  <mergeCells count="10">
    <mergeCell ref="R82:S82"/>
    <mergeCell ref="R86:S86"/>
    <mergeCell ref="W88:W90"/>
    <mergeCell ref="R91:S91"/>
    <mergeCell ref="B3:B9"/>
    <mergeCell ref="G12:H12"/>
    <mergeCell ref="G17:H17"/>
    <mergeCell ref="I58:J58"/>
    <mergeCell ref="I61:J61"/>
    <mergeCell ref="I62:J62"/>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CFF</vt:lpstr>
      <vt:lpstr>CFF Clean Data</vt:lpstr>
      <vt:lpstr>python_impact</vt:lpstr>
      <vt:lpstr>python_distr</vt:lpstr>
      <vt:lpstr>A,R,Q Variables</vt:lpstr>
      <vt:lpstr>Case Study 1</vt:lpstr>
      <vt:lpstr>Case Study 2</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Suzana Ostojic</dc:creator>
  <cp:lastModifiedBy>Suzana Ostojic</cp:lastModifiedBy>
  <dcterms:created xsi:type="dcterms:W3CDTF">2025-01-20T15:46:05Z</dcterms:created>
  <dcterms:modified xsi:type="dcterms:W3CDTF">2025-02-26T09:51:23Z</dcterms:modified>
</cp:coreProperties>
</file>