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ostojic\Desktop\"/>
    </mc:Choice>
  </mc:AlternateContent>
  <xr:revisionPtr revIDLastSave="0" documentId="13_ncr:1_{FDE24F89-269E-4DAB-9645-B5CF5FC04349}" xr6:coauthVersionLast="36" xr6:coauthVersionMax="47" xr10:uidLastSave="{00000000-0000-0000-0000-000000000000}"/>
  <bookViews>
    <workbookView xWindow="0" yWindow="0" windowWidth="28800" windowHeight="11925" tabRatio="697" activeTab="2"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2'!$B$135:$J$153</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7" l="1"/>
  <c r="K20" i="7"/>
  <c r="K21" i="7"/>
  <c r="K22" i="7"/>
  <c r="K23" i="7"/>
  <c r="K24" i="7"/>
  <c r="K25" i="7"/>
  <c r="K26" i="7"/>
  <c r="K27" i="7"/>
  <c r="K28" i="7"/>
  <c r="K29" i="7"/>
  <c r="K30" i="7"/>
  <c r="K31" i="7"/>
  <c r="K32" i="7"/>
  <c r="K33" i="7"/>
  <c r="K34" i="7"/>
  <c r="K35" i="7"/>
  <c r="K36" i="7"/>
  <c r="K37" i="7"/>
  <c r="K38" i="7"/>
  <c r="K39" i="7"/>
  <c r="K40" i="7"/>
  <c r="K41" i="7"/>
  <c r="K7" i="7"/>
  <c r="K8" i="7"/>
  <c r="K9" i="7"/>
  <c r="K10" i="7"/>
  <c r="K11" i="7"/>
  <c r="K12" i="7"/>
  <c r="K13" i="7"/>
  <c r="K14" i="7"/>
  <c r="K15" i="7"/>
  <c r="K16" i="7"/>
  <c r="K17" i="7"/>
  <c r="K18" i="7"/>
  <c r="K6" i="7"/>
  <c r="J36" i="7"/>
  <c r="J37" i="7"/>
  <c r="J38" i="7"/>
  <c r="J39" i="7"/>
  <c r="J40" i="7"/>
  <c r="J41" i="7"/>
  <c r="J11" i="7"/>
  <c r="J12" i="7"/>
  <c r="J13" i="7"/>
  <c r="J14" i="7"/>
  <c r="J15" i="7"/>
  <c r="J16" i="7"/>
  <c r="J17" i="7"/>
  <c r="J18" i="7"/>
  <c r="J19" i="7"/>
  <c r="J20" i="7"/>
  <c r="J21" i="7"/>
  <c r="J22" i="7"/>
  <c r="J23" i="7"/>
  <c r="J24" i="7"/>
  <c r="J25" i="7"/>
  <c r="J26" i="7"/>
  <c r="J27" i="7"/>
  <c r="J28" i="7"/>
  <c r="J29" i="7"/>
  <c r="J30" i="7"/>
  <c r="J31" i="7"/>
  <c r="J32" i="7"/>
  <c r="J33" i="7"/>
  <c r="J34" i="7"/>
  <c r="J35" i="7"/>
  <c r="J8" i="7"/>
  <c r="J9" i="7"/>
  <c r="J10" i="7"/>
  <c r="J7" i="7"/>
  <c r="J3"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F41" i="7"/>
  <c r="F40" i="7"/>
  <c r="F39" i="7"/>
  <c r="F38" i="7"/>
  <c r="F36" i="7"/>
  <c r="F35" i="7"/>
  <c r="F34" i="7"/>
  <c r="F33" i="7"/>
  <c r="F31" i="7"/>
  <c r="F30" i="7"/>
  <c r="F29" i="7"/>
  <c r="F28" i="7"/>
  <c r="F26" i="7"/>
  <c r="F25" i="7"/>
  <c r="F24" i="7"/>
  <c r="F23" i="7"/>
  <c r="F21" i="7"/>
  <c r="F20" i="7"/>
  <c r="F19" i="7"/>
  <c r="F18" i="7"/>
  <c r="F16" i="7"/>
  <c r="F15" i="7"/>
  <c r="F14" i="7"/>
  <c r="F13" i="7"/>
  <c r="F11" i="7"/>
  <c r="F10" i="7"/>
  <c r="F9" i="7"/>
  <c r="F8" i="7"/>
  <c r="E41" i="7"/>
  <c r="E40" i="7"/>
  <c r="E39" i="7"/>
  <c r="E38" i="7"/>
  <c r="E36" i="7"/>
  <c r="E35" i="7"/>
  <c r="E34" i="7"/>
  <c r="E33" i="7"/>
  <c r="E31" i="7"/>
  <c r="E30" i="7"/>
  <c r="E29" i="7"/>
  <c r="E28" i="7"/>
  <c r="E26" i="7"/>
  <c r="E25" i="7"/>
  <c r="E24" i="7"/>
  <c r="E23" i="7"/>
  <c r="E21" i="7"/>
  <c r="E20" i="7"/>
  <c r="E19" i="7"/>
  <c r="E18" i="7"/>
  <c r="E16" i="7"/>
  <c r="E15" i="7"/>
  <c r="E14" i="7"/>
  <c r="E13" i="7"/>
  <c r="E11" i="7"/>
  <c r="E10" i="7"/>
  <c r="E9" i="7"/>
  <c r="E8" i="7"/>
  <c r="D41" i="7"/>
  <c r="D40" i="7"/>
  <c r="D39" i="7"/>
  <c r="D38" i="7"/>
  <c r="D36" i="7"/>
  <c r="D35" i="7"/>
  <c r="D34" i="7"/>
  <c r="D33" i="7"/>
  <c r="D31" i="7"/>
  <c r="D30" i="7"/>
  <c r="D29" i="7"/>
  <c r="D28" i="7"/>
  <c r="D26" i="7"/>
  <c r="D25" i="7"/>
  <c r="D24" i="7"/>
  <c r="D23" i="7"/>
  <c r="D21" i="7"/>
  <c r="D20" i="7" l="1"/>
  <c r="D19" i="7"/>
  <c r="D18" i="7"/>
  <c r="D16" i="7"/>
  <c r="D15" i="7"/>
  <c r="D14" i="7"/>
  <c r="D13" i="7"/>
  <c r="D11" i="7"/>
  <c r="D10" i="7"/>
  <c r="D9" i="7"/>
  <c r="D8" i="7"/>
  <c r="C41" i="7"/>
  <c r="C40" i="7"/>
  <c r="C39" i="7"/>
  <c r="C38" i="7"/>
  <c r="C36" i="7"/>
  <c r="C35" i="7"/>
  <c r="C34" i="7"/>
  <c r="C33" i="7"/>
  <c r="C31" i="7"/>
  <c r="C30" i="7"/>
  <c r="C29" i="7"/>
  <c r="C28" i="7"/>
  <c r="C26" i="7"/>
  <c r="C25" i="7"/>
  <c r="C24" i="7"/>
  <c r="C23" i="7"/>
  <c r="C21" i="7"/>
  <c r="C20" i="7"/>
  <c r="C19" i="7"/>
  <c r="C18" i="7"/>
  <c r="C16" i="7"/>
  <c r="C15" i="7"/>
  <c r="C14" i="7"/>
  <c r="C13" i="7"/>
  <c r="C11" i="7"/>
  <c r="C10" i="7"/>
  <c r="C9" i="7"/>
  <c r="C8" i="7"/>
  <c r="H3" i="7"/>
  <c r="I41" i="7" l="1"/>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H21" i="7"/>
  <c r="H20" i="7"/>
  <c r="H19" i="7"/>
  <c r="H18" i="7"/>
  <c r="H41" i="7"/>
  <c r="H40" i="7"/>
  <c r="H39" i="7"/>
  <c r="H38" i="7"/>
  <c r="H36" i="7"/>
  <c r="H35" i="7"/>
  <c r="H34" i="7"/>
  <c r="H33" i="7"/>
  <c r="H31" i="7"/>
  <c r="H30" i="7"/>
  <c r="H29" i="7"/>
  <c r="H28" i="7"/>
  <c r="H26" i="7"/>
  <c r="H25" i="7"/>
  <c r="H24" i="7"/>
  <c r="H23" i="7"/>
  <c r="H16" i="7"/>
  <c r="H15" i="7"/>
  <c r="H14" i="7"/>
  <c r="H13" i="7"/>
  <c r="H11" i="7"/>
  <c r="H10" i="7"/>
  <c r="H9" i="7"/>
  <c r="H8" i="7"/>
  <c r="J2" i="7" l="1"/>
  <c r="I6" i="7" l="1"/>
  <c r="I5" i="7"/>
  <c r="I4" i="7"/>
  <c r="I3" i="7"/>
  <c r="I2" i="7"/>
  <c r="H6" i="7"/>
  <c r="H5" i="7"/>
  <c r="H4" i="7"/>
  <c r="G6" i="7"/>
  <c r="G5" i="7"/>
  <c r="G4" i="7"/>
  <c r="G3" i="7"/>
  <c r="G2" i="7"/>
  <c r="K2" i="7" s="1"/>
  <c r="F6" i="7"/>
  <c r="F5" i="7"/>
  <c r="F4" i="7"/>
  <c r="F3" i="7"/>
  <c r="E4" i="7"/>
  <c r="E3" i="7"/>
  <c r="E6" i="7"/>
  <c r="E5" i="7"/>
  <c r="D3" i="8"/>
  <c r="D2" i="8"/>
  <c r="D6" i="7"/>
  <c r="D5" i="7"/>
  <c r="D4" i="7"/>
  <c r="D3" i="7"/>
  <c r="C6" i="7"/>
  <c r="C5" i="7"/>
  <c r="C4" i="7"/>
  <c r="C3" i="7"/>
  <c r="D176" i="6"/>
  <c r="D182" i="6"/>
  <c r="D181" i="6"/>
  <c r="D180" i="6"/>
  <c r="D179" i="6"/>
  <c r="D178" i="6"/>
  <c r="D175" i="6"/>
  <c r="D174" i="6"/>
  <c r="D173" i="6"/>
  <c r="D172" i="6"/>
  <c r="D171" i="6"/>
  <c r="E34" i="3"/>
  <c r="E33" i="3"/>
  <c r="E32" i="3"/>
  <c r="E31" i="3"/>
  <c r="C33" i="3"/>
  <c r="C32" i="3"/>
  <c r="C31" i="3"/>
  <c r="J4" i="7" l="1"/>
  <c r="J5" i="7"/>
  <c r="J6" i="7"/>
  <c r="K4" i="7"/>
  <c r="K3" i="7"/>
  <c r="K5" i="7"/>
  <c r="C60" i="4"/>
  <c r="C359" i="3"/>
  <c r="C362" i="3" s="1"/>
  <c r="C350" i="3"/>
  <c r="C349" i="3"/>
  <c r="C348" i="3"/>
  <c r="C347" i="3"/>
  <c r="C346" i="3"/>
  <c r="C342" i="3"/>
  <c r="C341" i="3"/>
  <c r="C344" i="3" s="1"/>
  <c r="C321" i="3"/>
  <c r="C316" i="3"/>
  <c r="C317" i="3" s="1"/>
  <c r="C315" i="3"/>
  <c r="C343" i="3" l="1"/>
  <c r="C361" i="3"/>
  <c r="C375" i="3"/>
  <c r="C377" i="3" s="1"/>
  <c r="C360" i="3"/>
  <c r="C369" i="3" s="1"/>
  <c r="C355" i="3"/>
  <c r="C354" i="3"/>
  <c r="C345" i="3"/>
  <c r="C353" i="3"/>
  <c r="C352" i="3"/>
  <c r="C320" i="3"/>
  <c r="C319" i="3"/>
  <c r="C363" i="3" l="1"/>
  <c r="C364" i="3"/>
  <c r="C365" i="3"/>
  <c r="C366" i="3"/>
  <c r="C368" i="3"/>
  <c r="C201" i="3" l="1"/>
  <c r="C281" i="3"/>
  <c r="C283" i="3"/>
  <c r="C280" i="3"/>
  <c r="C279" i="3"/>
  <c r="C191" i="3" l="1"/>
  <c r="C184" i="3"/>
  <c r="C183" i="3"/>
  <c r="T91" i="5"/>
  <c r="S74" i="5"/>
  <c r="T82" i="5" s="1"/>
  <c r="T86" i="5" s="1"/>
  <c r="S70" i="5"/>
  <c r="S78" i="5" s="1"/>
  <c r="K58" i="5"/>
  <c r="K62" i="5" s="1"/>
  <c r="I12" i="5"/>
  <c r="I17" i="5" s="1"/>
  <c r="H6" i="5"/>
  <c r="C41" i="3"/>
  <c r="C166" i="4"/>
  <c r="C165" i="4"/>
  <c r="C164" i="4"/>
  <c r="C168" i="4" l="1"/>
  <c r="C177" i="4" s="1"/>
  <c r="C183" i="4"/>
  <c r="C189" i="4" s="1"/>
  <c r="C191" i="4" s="1"/>
  <c r="C182" i="4"/>
  <c r="C179" i="4" l="1"/>
  <c r="C178"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<sst xmlns="http://schemas.openxmlformats.org/spreadsheetml/2006/main" count="1885" uniqueCount="858">
  <si>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</si>
  <si>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</si>
  <si>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</si>
  <si>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</si>
  <si>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</si>
  <si>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</si>
  <si>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</si>
  <si>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</si>
  <si>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</si>
  <si>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</si>
  <si>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</si>
  <si>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</si>
  <si>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</si>
  <si>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</si>
  <si>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</si>
  <si>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</si>
  <si>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</si>
  <si>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</si>
  <si>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</si>
  <si>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</si>
  <si>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</si>
  <si>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</si>
  <si>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</si>
  <si>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</si>
  <si>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</si>
  <si>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</si>
  <si>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</si>
  <si>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</si>
  <si>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</si>
  <si>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</si>
  <si>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</si>
  <si>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</si>
  <si>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</si>
  <si>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</si>
  <si>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</si>
  <si>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</si>
  <si>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</si>
  <si>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</si>
  <si>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</si>
  <si>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</si>
  <si>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</si>
  <si>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</si>
  <si>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</si>
  <si>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</si>
  <si>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</si>
  <si>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</si>
  <si>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</si>
  <si>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</si>
  <si>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</si>
  <si>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</si>
  <si>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</si>
  <si>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</si>
  <si>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</si>
  <si>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</si>
  <si>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</si>
  <si>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</si>
  <si>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</si>
  <si>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</si>
  <si>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</si>
  <si>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</si>
  <si>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</si>
  <si>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</si>
  <si>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</si>
  <si>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</si>
  <si>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</si>
  <si>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</si>
  <si>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</si>
  <si>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</si>
  <si>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</si>
  <si>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</si>
  <si>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</si>
  <si>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</si>
  <si>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</si>
  <si>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</si>
  <si>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</si>
  <si>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</si>
  <si>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</si>
  <si>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</si>
  <si>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</si>
  <si>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</si>
  <si>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</si>
  <si>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</si>
  <si>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</si>
  <si>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</si>
  <si>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</si>
  <si>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</si>
  <si>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</si>
  <si>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</si>
  <si>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</si>
  <si>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</si>
  <si>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</si>
  <si>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</si>
  <si>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</si>
  <si>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</si>
  <si>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</si>
  <si>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</si>
  <si>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</si>
  <si>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</si>
  <si>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</si>
  <si>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</si>
  <si>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</si>
  <si>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</si>
  <si>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</si>
  <si>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</si>
  <si>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</si>
  <si>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</si>
  <si>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</si>
  <si>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</si>
  <si>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</si>
  <si>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</si>
  <si>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</si>
  <si>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</si>
  <si>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</si>
  <si>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</si>
  <si>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</si>
  <si>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</si>
  <si>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</si>
  <si>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</si>
  <si>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</si>
  <si>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</si>
  <si>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</si>
  <si>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</si>
  <si>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</si>
  <si>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</si>
  <si>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</si>
  <si>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</si>
  <si>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</si>
  <si>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</si>
  <si>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</si>
  <si>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</si>
  <si>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</si>
  <si>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</si>
  <si>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</si>
  <si>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</si>
  <si>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</si>
  <si>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</si>
  <si>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</si>
  <si>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</si>
  <si>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</si>
  <si>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</si>
  <si>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</si>
  <si>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</si>
  <si>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</si>
  <si>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</si>
  <si>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</si>
  <si>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</si>
  <si>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</si>
  <si>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</si>
  <si>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</si>
  <si>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</si>
  <si>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</si>
  <si>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</si>
  <si>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</si>
  <si>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</si>
  <si>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</si>
  <si>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</si>
  <si>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</si>
  <si>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</si>
  <si>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</si>
  <si>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</si>
  <si>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</si>
  <si>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</si>
  <si>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</si>
  <si>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</si>
  <si>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</si>
  <si>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</si>
  <si>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</si>
  <si>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</si>
  <si>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</si>
  <si>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</si>
  <si>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</si>
  <si>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</si>
  <si>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</si>
  <si>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</si>
  <si>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</si>
  <si>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</si>
  <si>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</si>
  <si>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</si>
  <si>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</si>
  <si>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</si>
  <si>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</si>
  <si>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</si>
  <si>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</si>
  <si>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</si>
  <si>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</si>
  <si>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</si>
  <si>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</si>
  <si>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</si>
  <si>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</si>
  <si>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</si>
  <si>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</si>
  <si>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</si>
  <si>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</si>
  <si>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</si>
  <si>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</si>
  <si>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</si>
  <si>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</si>
  <si>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</si>
  <si>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</si>
  <si>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</si>
  <si>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</si>
  <si>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</si>
  <si>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</si>
  <si>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</si>
  <si>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</si>
  <si>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</si>
  <si>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</si>
  <si>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</si>
  <si>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</si>
  <si>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</si>
  <si>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</si>
  <si>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</si>
  <si>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</si>
  <si>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</si>
  <si>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</si>
  <si>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</si>
  <si>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</si>
  <si>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</si>
  <si>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</si>
  <si>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</si>
  <si>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</si>
  <si>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</si>
  <si>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</si>
  <si>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</si>
  <si>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</si>
  <si>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</si>
  <si>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</si>
  <si>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</si>
  <si>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</si>
  <si>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</si>
  <si>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</si>
  <si>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</si>
  <si>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</si>
  <si>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</si>
  <si>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</si>
  <si>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</si>
  <si>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</si>
  <si>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</si>
  <si>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</si>
  <si>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</si>
  <si>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</si>
  <si>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</si>
  <si>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</si>
  <si>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</si>
  <si>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</si>
  <si>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</si>
  <si>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</si>
  <si>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</si>
  <si>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</si>
  <si>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</si>
  <si>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</si>
  <si>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</si>
  <si>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</si>
  <si>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</si>
  <si>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</si>
  <si>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</si>
  <si>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</si>
  <si>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</si>
  <si>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</si>
  <si>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</si>
  <si>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</si>
  <si>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</si>
  <si>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</si>
  <si>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</si>
  <si>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</si>
  <si>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</si>
  <si>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</si>
  <si>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</si>
  <si>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</si>
  <si>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</si>
  <si>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</si>
  <si>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</si>
  <si>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</si>
  <si>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</si>
  <si>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</si>
  <si>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</si>
  <si>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</si>
  <si>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</si>
  <si>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</si>
  <si>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</si>
  <si>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</si>
  <si>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</si>
  <si>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</si>
  <si>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</si>
  <si>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</si>
  <si>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</si>
  <si>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</si>
  <si>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</si>
  <si>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</si>
  <si>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</si>
  <si>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</si>
  <si>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</si>
  <si>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</si>
  <si>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</si>
  <si>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</si>
  <si>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</si>
  <si>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</si>
  <si>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</si>
  <si>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</si>
  <si>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</si>
  <si>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</si>
  <si>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</si>
  <si>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</si>
  <si>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</si>
  <si>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</si>
  <si>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</si>
  <si>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</si>
  <si>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</si>
  <si>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</si>
  <si>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</si>
  <si>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</si>
  <si>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</si>
  <si>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</si>
  <si>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</si>
  <si>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</si>
  <si>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</si>
  <si>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</si>
  <si>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</si>
  <si>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</si>
  <si>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</si>
  <si>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</si>
  <si>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</si>
  <si>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</si>
  <si>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</si>
  <si>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</si>
  <si>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</si>
  <si>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</si>
  <si>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</si>
  <si>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</si>
  <si>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</si>
  <si>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</si>
  <si>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</si>
  <si>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</si>
  <si>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</si>
  <si>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</si>
  <si>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</si>
  <si>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</si>
  <si>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</si>
  <si>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</si>
  <si>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</si>
  <si>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</si>
  <si>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</si>
  <si>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</si>
  <si>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</si>
  <si>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</si>
  <si>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</si>
  <si>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</si>
  <si>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</si>
  <si>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</si>
  <si>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</si>
  <si>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</si>
  <si>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</si>
  <si>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</si>
  <si>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</si>
  <si>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</si>
  <si>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</si>
  <si>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</si>
  <si>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</si>
  <si>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</si>
  <si>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</si>
  <si>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</si>
  <si>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</si>
  <si>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</si>
  <si>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</si>
  <si>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</si>
  <si>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</si>
  <si>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</si>
  <si>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</si>
  <si>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</si>
  <si>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</si>
  <si>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</si>
  <si>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</si>
  <si>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</si>
  <si>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</si>
  <si>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</si>
  <si>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</si>
  <si>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</si>
  <si>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</si>
  <si>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</si>
  <si>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</si>
  <si>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</si>
  <si>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</si>
  <si>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</si>
  <si>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</si>
  <si>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</si>
  <si>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</si>
  <si>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</si>
  <si>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</si>
  <si>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</si>
  <si>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</si>
  <si>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</si>
  <si>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</si>
  <si>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</si>
  <si>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</si>
  <si>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</si>
  <si>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</si>
  <si>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</si>
  <si>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</si>
  <si>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</si>
  <si>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</si>
  <si>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</si>
  <si>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</si>
  <si>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</si>
  <si>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</si>
  <si>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</si>
  <si>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</si>
  <si>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</si>
  <si>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</si>
  <si>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</si>
  <si>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</si>
  <si>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</si>
  <si>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</si>
  <si>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</si>
  <si>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</si>
  <si>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</si>
  <si>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</si>
  <si>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</si>
  <si>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</si>
  <si>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</si>
  <si>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</si>
  <si>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</si>
  <si>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</si>
  <si>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</si>
  <si>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</si>
  <si>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</si>
  <si>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</si>
  <si>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</si>
  <si>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</si>
  <si>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</si>
  <si>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</si>
  <si>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</si>
  <si>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</si>
  <si>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</si>
  <si>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</si>
  <si>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</si>
  <si>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</si>
  <si>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</si>
  <si>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</si>
  <si>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</si>
  <si>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</si>
  <si>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</si>
  <si>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</si>
  <si>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</si>
  <si>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</si>
  <si>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</si>
  <si>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</si>
  <si>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</si>
  <si>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</si>
  <si>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</si>
  <si>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</si>
  <si>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</si>
  <si>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</si>
  <si>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</si>
  <si>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</si>
  <si>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</si>
  <si>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</si>
  <si>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</si>
  <si>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</si>
  <si>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</si>
  <si>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</si>
  <si>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</si>
  <si>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</si>
  <si>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</si>
  <si>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</si>
  <si>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</si>
  <si>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</si>
  <si>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</si>
  <si>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</si>
  <si>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</si>
  <si>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</si>
  <si>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</si>
  <si>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</si>
  <si>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</si>
  <si>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</si>
  <si>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</si>
  <si>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</si>
  <si>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</si>
  <si>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</si>
  <si>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</si>
  <si>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</si>
  <si>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</si>
  <si>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</si>
  <si>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</si>
  <si>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</si>
  <si>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</si>
  <si>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</si>
  <si>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</si>
  <si>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</si>
  <si>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</si>
  <si>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</si>
  <si>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</si>
  <si>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</si>
  <si>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</si>
  <si>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</si>
  <si>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</si>
  <si>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</si>
  <si>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</si>
  <si>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</si>
  <si>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</si>
  <si>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</si>
  <si>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</si>
  <si>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</si>
  <si>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</si>
  <si>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</si>
  <si>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</si>
  <si>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</si>
  <si>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</si>
  <si>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</si>
  <si>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</si>
  <si>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</si>
  <si>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</si>
  <si>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</si>
  <si>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</si>
  <si>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</si>
  <si>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</si>
  <si>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</si>
  <si>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</si>
  <si>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</si>
  <si>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</si>
  <si>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</si>
  <si>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</si>
  <si>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</si>
  <si>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</si>
  <si>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</si>
  <si>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</si>
  <si>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</si>
  <si>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</si>
  <si>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</si>
  <si>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</si>
  <si>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</si>
  <si>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</si>
  <si>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</si>
  <si>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</si>
  <si>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</si>
  <si>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</si>
  <si>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</si>
  <si>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</si>
  <si>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</si>
  <si>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</si>
  <si>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</si>
  <si>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</si>
  <si>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</si>
  <si>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</si>
  <si>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</si>
  <si>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</si>
  <si>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</si>
  <si>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</si>
  <si>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</si>
  <si>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</si>
  <si>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</si>
  <si>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Value has to be set to 0</t>
  </si>
  <si>
    <t>Al-Sheet Component Part (see above)</t>
  </si>
  <si>
    <t>St-Sheet Component Part (see above)</t>
  </si>
  <si>
    <t>Composite Part</t>
  </si>
  <si>
    <t>0,5 - 0,8</t>
  </si>
  <si>
    <t>Aluminum/ Steel reference cross car beam (CCB)</t>
  </si>
  <si>
    <t>Literature/ Market Studies</t>
  </si>
  <si>
    <t>Application Specific Value from Annex C and literature/ market study research</t>
  </si>
  <si>
    <t xml:space="preserve"> </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</si>
  <si>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</si>
  <si>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</si>
  <si>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</si>
  <si>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</si>
  <si>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</si>
  <si>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</si>
  <si>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</si>
  <si>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</si>
  <si>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</si>
  <si>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</si>
  <si>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</si>
  <si>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</si>
  <si>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</si>
  <si>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Mirzaie, S (2020)</t>
  </si>
  <si>
    <t>Check in Annex C if company specific value is available: No, no value is available, study based on secondary data</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</si>
  <si>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</si>
  <si>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</si>
  <si>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</si>
  <si>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</si>
  <si>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</si>
  <si>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</si>
  <si>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</si>
  <si>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</si>
  <si>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</si>
  <si>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</si>
  <si>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</si>
  <si>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</si>
  <si>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</si>
  <si>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</si>
  <si>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</si>
  <si>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</si>
  <si>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</si>
  <si>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</si>
  <si>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</si>
  <si>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</si>
  <si>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</si>
  <si>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</si>
  <si>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</si>
  <si>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</si>
  <si>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</si>
  <si>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</si>
  <si>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</si>
  <si>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</si>
  <si>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</si>
  <si>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</si>
  <si>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</si>
  <si>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</si>
  <si>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</si>
  <si>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Current company-specific scenario specifies no recycled input (R1 = 0).</t>
  </si>
  <si>
    <t xml:space="preserve">Based on assuming: primary material has the highest quality </t>
  </si>
  <si>
    <t xml:space="preserve">Based on Qp=1,assuming: primary material has the highest quality </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</si>
  <si>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</si>
  <si>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</si>
  <si>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</si>
  <si>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</si>
  <si>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</si>
  <si>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</si>
  <si>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</si>
  <si>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</si>
  <si>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</si>
  <si>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</si>
  <si>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</si>
  <si>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Uhlig (2023)</t>
  </si>
  <si>
    <t>range determined according to economic approach and literature analysis</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</si>
  <si>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</si>
  <si>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</si>
  <si>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</si>
  <si>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</si>
  <si>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</si>
  <si>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</si>
  <si>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</si>
  <si>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</si>
  <si>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</si>
  <si>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</si>
  <si>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 xml:space="preserve">Literature and maket analysis </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</si>
  <si>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</si>
  <si>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</si>
  <si>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</si>
  <si>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</si>
  <si>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</si>
  <si>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</si>
  <si>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</si>
  <si>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</si>
  <si>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</si>
  <si>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</si>
  <si>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Based on packeging default values and literature/ economic market research</t>
  </si>
  <si>
    <t>(a) Suer, Traverso, Jäger; 2022 (b) World Steel Association, 2021</t>
  </si>
  <si>
    <t>0,2 is choosen for high quality secondary materials, which is the case for many metals</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</si>
  <si>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</si>
  <si>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</si>
  <si>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</si>
  <si>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</si>
  <si>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</si>
  <si>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</si>
  <si>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</si>
  <si>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Default Value from Annex C and lit. Market research</t>
  </si>
  <si>
    <t>market and lit. Research</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</si>
  <si>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</si>
  <si>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</si>
  <si>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</si>
  <si>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</si>
  <si>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</si>
  <si>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</si>
  <si>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</si>
  <si>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</si>
  <si>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</si>
  <si>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</si>
  <si>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</si>
  <si>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</si>
  <si>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</si>
  <si>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</si>
  <si>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</si>
  <si>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</si>
  <si>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</si>
  <si>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</si>
  <si>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</si>
  <si>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</si>
  <si>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</si>
  <si>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</si>
  <si>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</si>
  <si>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</si>
  <si>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</si>
  <si>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</si>
  <si>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</si>
  <si>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</si>
  <si>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</si>
  <si>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A=0,2 is choosen for high quality secondary materials, which is the case for many metals, including Aluminium (b) The allocation factor for metals is set to 0,2</t>
  </si>
  <si>
    <t>(a) The Battery Pass consortium, 2023 (b) Metals for buildings, 2024</t>
  </si>
  <si>
    <t>(a) Kulczycka, Lewandowska, Joachimiak; 2024; Wolf et al, 2020 (b) IAI; Eu RIC AISBL, 2022; Bakedano et al, 2021 © Declan Conway, 2023 (d) Metals for buildings, 2024</t>
  </si>
  <si>
    <t>0,8 - 1</t>
  </si>
  <si>
    <t xml:space="preserve">(a)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(c) According to Declan Conway,of the price for secondary aluminium in 2023 in europe was between 2000€ and 2200€ per ton for aluminium pressure diecasting ingot DIN226. Given that this represents approximately 80% of the primary aluminium price, Qsin can be set to 0,8. Therefor Qsin/Qp can be set to 0,8 (d) For metals, the quality is assumed to stay the same through recycling. Qsin/Qp=Qsout/Qp=1 has been set (e) For metals, the quality is assumed to stay the same through recycling. Qsin/Qp=Qsout/Qp=1 has been set </t>
  </si>
  <si>
    <t>(a) The demand of scrap is far above the supply. High Demand, low supply means low A value according to PEF Annex C A=0,2 (b) Steel demand is growing, but the availability of scrap is not growing at the same rate. Hence a scarcity of steel scrap occurs. High Demand, low supply means low A value according to PEF Annex C A=0,2</t>
  </si>
  <si>
    <t>(a) The default value of Annex C for steel of 0,2 has been used in this paper (b) A value of 0,2 has been set for A for steel in this paper © The allocation factor for metals is set to 0,2</t>
  </si>
  <si>
    <t>(a) Rydberg et al., 2023 (b) Babian, 2022 © Metals for buildings, 2024</t>
  </si>
  <si>
    <t>Qp=1,assuming: primary material has the highest quality: (a) This paper set Qp=1 (b) Qp indicates the quality of the primary aluminium. Accorcing to the London Metal Exchange, the price of primary steel was 740€ per ton in mid-February 2025 for the US. According to Jim Pritchard, the price for secondary steel in 2023 in the US was around 400€ per ton. Since the quality ratios Qsin/Qp and Qsout/Qp are derived by comparing the market price of secondary steel to that of primary steel, Qp can be set to 1 to establish a consistent benchmark for comparison</t>
  </si>
  <si>
    <t>(a) Rydberg et al., 2023 (b) LME Steel, 2025; Jim Pritchard, 2024</t>
  </si>
  <si>
    <t>The use for GF-PP is growing every year and so is the supply of recycable composite waste (a). But the demand is not as high for recycled GF-PP, because recycling end-of-life compounds results in loss of the materials properties (b) and the loss of mechanical durability  limits the reuse of recycled GF-PP for reinforcement and compromises the value position of the recycled material (c). The demand for recyceled GF-PP stays low, as most of the used GF-PP ends up in size reduction or in landfill and no esatblished method for recycling exists (c). But according to Pfisterer, Rinberg, Kroll, 2021 the automotive manufactures are increasingly trying to use recyclates. Low demand and high supply means a high A value according to PEF Report. The A value can be set from 0,5 to 0,8 because of the slightly increasing demand.</t>
  </si>
  <si>
    <t>Karuppannan Gopalraj, Kärki; 2020 (a)
Achukwu, 2023 (b)
Ginder, Ker, Ozcan; 2019 (c) 
Pfisterer, Rinberg, Kroll; 2021</t>
  </si>
  <si>
    <t>composite_CCB_allocated</t>
  </si>
  <si>
    <t>industrial_CCB_allocated</t>
  </si>
  <si>
    <t>erec_GWP</t>
  </si>
  <si>
    <t>erec_eol_GWP</t>
  </si>
  <si>
    <t>ed_GWP</t>
  </si>
  <si>
    <t>ev_GWP</t>
  </si>
  <si>
    <t>ev_star_GWP</t>
  </si>
  <si>
    <t>erec_eol_ADP_elements</t>
  </si>
  <si>
    <t>erec_ADP_elements</t>
  </si>
  <si>
    <t>ev_ADP_elements</t>
  </si>
  <si>
    <t>ev_star_ADP_elements</t>
  </si>
  <si>
    <t>erec_ADP_fossil</t>
  </si>
  <si>
    <t>erec_eol_ADP_fossil</t>
  </si>
  <si>
    <t>ev_ADP_fossil</t>
  </si>
  <si>
    <t>ev_star_ADP_fossil</t>
  </si>
  <si>
    <t>erec_AP</t>
  </si>
  <si>
    <t>erec_eol_AP</t>
  </si>
  <si>
    <t>ed_AP</t>
  </si>
  <si>
    <t>ev_AP</t>
  </si>
  <si>
    <t>ev_star_AP</t>
  </si>
  <si>
    <t>ed_ADP_fossil</t>
  </si>
  <si>
    <t>ed_ADP_elements</t>
  </si>
  <si>
    <t>erec_EP</t>
  </si>
  <si>
    <t>erec_eol_EP</t>
  </si>
  <si>
    <t>ed_EP</t>
  </si>
  <si>
    <t>ev_EP</t>
  </si>
  <si>
    <t>ev_star_EP</t>
  </si>
  <si>
    <t>erec_HTP</t>
  </si>
  <si>
    <t>erec_eol_HTP</t>
  </si>
  <si>
    <t>ed_HTP</t>
  </si>
  <si>
    <t>ev_HTP</t>
  </si>
  <si>
    <t>ev_star_HTP</t>
  </si>
  <si>
    <t>erec_ODP</t>
  </si>
  <si>
    <t>erec_eol_ODP</t>
  </si>
  <si>
    <t>ed_ODP</t>
  </si>
  <si>
    <t>ev_ODP</t>
  </si>
  <si>
    <t>ev_star_ODP</t>
  </si>
  <si>
    <t>erec_POCP</t>
  </si>
  <si>
    <t>erec_eol_POCP</t>
  </si>
  <si>
    <t>ed_POCP</t>
  </si>
  <si>
    <t>ev_POCP</t>
  </si>
  <si>
    <t>ev_star_POCP</t>
  </si>
  <si>
    <t xml:space="preserve">Impact Category </t>
  </si>
  <si>
    <t>Default Value from Annex C and literature/ market analysis --&gt; conventional concrete is only produced with primary material -&gt; no input of recycled material</t>
  </si>
  <si>
    <t>range determined according to PEF Guide and literature analysis --&gt; value determined according to the PEF guide gives a value of 0, which according to the definition of R2 (proportion of the material in the product that will be recycled in a subsequent system) would mean that no proportion of the concrete can be recycled; the literature shows that concrete can be recycled quite well, resulting in a value determined according to the literature analysis of 0.7; although the literature indicates a fairly high recycling rate for concrete, it cannot be ruled out that only a small proportion of recyclable concrete is produced due to, for example, possibly poor concrete quality; a probability of 0% recyclable concrete is very low but not impossible - resulting in a fairly wide range for R2 for the reference product</t>
  </si>
  <si>
    <t>Assumption: Primary material  has the highest quality --&gt; Value determined according to economic approach and literature analysis
-Qsin and Qsout each represent the recycled material, Qp the primary material; to ensure the comparability of different sources, quality indicators are taken into account; the ratio to the value Qp is always calculated, whereby Qp represents 100 %; the quality ratios are shown at Qsin and Qsout
-For the economic approach, a price comparison is made between the recycled materials and the primary material; the sales prices are used to draw conclusions about the quality of the recycled materials; as part of the literature analysis, the quality is measured using the physical aspects of the materials; using the example of concrete, it is considered how the compressive strength of the concrete decreases as a result of recycling compared to the compressive strength of the primary material (Qp)</t>
  </si>
  <si>
    <t>(a) Qsin/Qp = 0,97 : price for recycling concrete C30/37 is 192 €/m3, price for concrete for industrial floor is 179 €/m3 to 204,50 €/m3, for an exposure class of XM2 and largest grain size of 32 mm price is 197 €/m3 - the prices refer to the concretes themselves and not to the aggregates, but since the concretes are produced by the same company and therefore the external conditions for the concretes are the same, it is concluded that the price difference is due to the aggregates [192/197=0,97] (b) Qsout/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(c) Qsin/ Qp = 0,83-1 : The price for R-concrete compared to conventional concrete shows a wide range. Some concrete manufacturers calculate a premium of 10 to 15 % or even 25€ per m³ additionally, which translates to around 17 %. These are a result of higher prices for recycled aggregates compared to primary aggregates. In some regions however, R-concrete is not more expensive than its primary counterpart. Especially in the German province Baden-Württemberg, the supply of recycled aggregates is such that concrete manufacturers can offer R-concrete for the same price as the conventional product. These extra costs are a product of the costly selective demolition and elaborate processing of waste material to building products - since the price for secondary concrete is higher than that of primary one the value is set equal to 1 - the study focuses on the price difference between concrete and recycled concrete; in the case of this study, the price classification is considered as the source claims that the higher price of the recycled concrete is due to the higher price of the recycled aggregate compared to virgin aggregates, thus a direct inference to the price difference between recycled aggregate and virgin aggregate is made (d) Qsin/ Qp = 0,75 : The replacement ratio of aggregates has a significant effect on the strength properties of concrete, replacement of natural aggregates with up to 25% recycled concrete aggregates does not alter the strength properties of concrete remarkably, beyond 25% aggregate replacement, the compressive strength and modulus of elasticity of RCA concrete are affected (e) Qsin/ Qp = 0,865 - 0,908 : soucre studies the effect of replacing part or all of the natural crushed limestone coarse aggregates (NCA) with recycled coarse aggregates (RCA) resulting from tested and crushed concrete cylinders in batching plants, on the plastic and hardened mechanical properties of the produced normal and high strength concrete mixes (NSC and HSC), As for the NSC hardened concrete properties, average reductions of 9.8, 13.5, 11, and 9.2% were recorded relative to the control mix in the compressive strength, splitting tensile strength, modulus of elasticity, and flexural strength values, respectively - the reference product made from conventional cocnrete is a NSC (f) Qsin/ Qp = 0,75 - 0,9 : the strength of of recycled concrete can be 10–25% lower than that of conventional concrete made with natural coarse aggregate (g) Qsin/ Qp = 0,923 : value of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t>
  </si>
  <si>
    <t>0,73 - 1</t>
  </si>
  <si>
    <t>Qsout/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t>
  </si>
  <si>
    <t>Qsout/ Qp = 0,75 - 0,9 : the strength of of recycled concrete can be 10–25% lower than that of conventional concrete made with natural coarse aggregate</t>
  </si>
  <si>
    <t xml:space="preserve">Literature/ Market Analysis (economic approach) - value determined according to economic approach and literature analysis; 
values overlap
</t>
  </si>
  <si>
    <t>0 - 0,97</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</si>
  <si>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(b) Carbon fiber: Qsin/ Qp = 0,24 - 0,44 : recycled carbon fibres and recycled carbon fibre products offer significant cost advantages; fiber costs of virgin fiber approx. 18-50€/kg, fiber costs of recycled fiber approx.  8-12€/kg 
[12/50=0,24 &amp; 8/18=0,44]; (c) Carbon fiber: Qsin/ Qp = 0,7 - 0,8 : ELG Carbon Fibre (U.K.): company’s recycled carbon fiber (RCF) products can offer from 30 to 40 percent cost savings vs. virgin carbon fiber (VCF); CFK Valley Recycling (Germany): savings of 20 to 30 percent costs with rCF compared to vCF - only german values are considerd to determine the range</t>
  </si>
  <si>
    <t>(a) Urbansky (2020) (b) ELG (2016); © Gardiner (2014)</t>
  </si>
  <si>
    <t>(a) Concrete: Qsin/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Concrete: Qsin/ Qp = 1 : The price for R-concrete compared to conventional concrete shows a wide range. Some concrete manufacturers calculate a premium of 10 to 15 % or even 25€ per m³ additionally, which translates to around 17 %. These are a result of higher prices for recycled aggregates compared to primary aggregates. In some regions however, R-concrete is not more expensive than its primary counterpart. Especially in the German province Baden-Württemberg, the supply of recycled aggregates is such that concrete manufacturers can offer R-concrete for the same price as the conventional product. These extra costs are a product of the costly selective demolition and elaborate processing of waste material to building products - since the price for secondary concrete is higher than that of primary one the value is set equal to 1 - the study focuses on the price difference between concrete and recycled concrete; in the case of this study, the price classification is considered as the source claims that the higher price of the recycled concrete is due to the higher price of the recycled aggregate and thus a direct inference to the price difference between recycled aggregate and virgin aggregate is made</t>
  </si>
  <si>
    <t>(a) Uhlig (2023); (b) Sterk (2023)</t>
  </si>
  <si>
    <t>Allocation</t>
  </si>
  <si>
    <t>(a) Qsin/ Qp = 0,902 : The pyrolysis technique provides the recycled CF with high-quality properties comparable to virgin CF; Tensile strength may achieve 90.19% of vCF (b)  Qsin/ Qp = 0,643 : comparison of the mechanical properties (tensile strength) of virgin CF compared to with pyrolysis recycled CF; tensile strength of vCF= 4111MPa, rCF=2643MPa - degradation of tensile strength of 35,7% (c) Carbon fiber: Qsin/ Qp = 0,8 - 0,9 : tensile strength of recycled carbon fiber is 10 to 20 % lower compared to virgin fiber (d) Carbon fiber: Qsin/ Qp = 0,93 : the composites made with the recycled carbon fibers (rCF) tend to have poorer mechanical properties (reduced elastic modulus and tensile strength) compared to the composites made out of primary fibers; the best mechanical properties have been obtained at a pyrolysis and oxidation temperature of 500 °C, a pyrolysis time of one hour, and an oxidation time of two hours, resulting in a tensile strength of 93%</t>
  </si>
  <si>
    <t>(a) Xu (2024); (b) Emmerich (2014)  ©Gardiner (2014) (d) Backes (2022)</t>
  </si>
  <si>
    <t>(a) Concrete: Qsin/ Qp = 0,75 : The replacement ratio of aggregates has a significant effect on the strength properties of concrete, replacement of natural aggregates with up to 25% recycled concrete aggregates does not alter the strength properties of concrete remarkably, beyond 25% aggregate replacement, the compressive strength and modulus of elasticity of RCA concrete are affected (b) Concrete: Qsin/ Qp = 0,75 - 0,9 : the strength of of recycled concrete can be 10–25% lower than that of conventional concrete made with natural coarse aggregate (c) Concrete: Qsin/ Qp = 0,887 - 897 : source studies the effect of replacing part or all of the natural crushed limestone coarse aggregates (NCA) with recycled coarse aggregates (RCA) resulting from tested and crushed concrete cylinders in batching plants, on the plastic and hardened mechanical properties of the produced normal and high strength concrete mixes (NSC and HSC), The average reductions in HSC were 11, 11.3, 10.3, and 10.8%, respectively - the substitute floor made from CRC can be categorised as HSC</t>
  </si>
  <si>
    <t>(a) Thomas (2018) (b)Tabsh (2008) © Hamad (2017)</t>
  </si>
  <si>
    <t>allocation: 60,3% recycled material input of which 99,5% are recycled concrete aggregates and 0,5% are recycled carbon fiber
range for carbon fibers: 0,1 - 0,8
range for concrete: 0,73 - 1,00
1. Qsin/ Qp = 0,995*0,73+0,005*0,1 = 0,727
2. Qsin/ Qp = 0,995*1,00+0,005*0,8 = 0,999</t>
  </si>
  <si>
    <t xml:space="preserve">Truncated Normal (mean=0,85; std=0,1; min=0,73; max=1) </t>
  </si>
  <si>
    <t>The demand  for aluminium scrap is above the supply of it. According to the PEF Report, high demand low supply means A=0,2</t>
  </si>
  <si>
    <t>Wang et. Al, 2024</t>
  </si>
  <si>
    <t>(a) IAI, 2020 (b) Sean, Apelian © European Aluminium, 2020 (d )JAMA, 2024 ('e) Ehrenberger, 2020</t>
  </si>
  <si>
    <t>(a) Global Recycling Efficiency Rate of aluminium is 76% (b) The global recycling rate of aluminium in the automotive sector is 91% © The recycling erates in europe are over 90% (d) This paper set the R2 value for alumminium extrusion material in the automotive industry to 0,98 ('e) This paper set a recovery rate for aluminium in a crossbeam carrier equal to 90%.</t>
  </si>
  <si>
    <t>0,76 - 0,98</t>
  </si>
  <si>
    <t>(a) The quality ratio Qsout/Qp has been chosen according the value in Annex C: 1 (b) Qsout has been set to 1 for aluminium (c) For metals, the quality is assumed to stay the same through recycling. Qsin/Qp=Qsout/Qp=1 has been set (d) This paper set the quality ratio Qsout/Qp to 0,7 for aluminium extrusion material in the automotive industry. Qsout can be set to 0,7 ('e) Accorcing to the London Metal Exchange, the price of primary aluminium was 2,513.01€ per ton in mid-February 2025. The price of old aluminium scrap is around 1050€/t. Given that this represents approximately 42% of the primary aluminium price, Qsout can be set to 0,42. Therefor Qsout/Qp can be set to 0,42.</t>
  </si>
  <si>
    <t>(a) Wolf et al, 2020 (b) The Battery Pass consortium, 2023  ('c) Metals for buildings, 2024  (d) JAMA, 2024 ('e) LME Aluminium, 2025
Böhner, 2025</t>
  </si>
  <si>
    <t>0,42 - 1</t>
  </si>
  <si>
    <t>(a) The reccycling rate of steel is 82,2% globally (b) The recycling rate for steel in the automotive sector is about 90% © This paper set R2 for rolled-Steel-Sheet used in the automotive industry to 0,98</t>
  </si>
  <si>
    <t>(a) This paper choose 0,9 as a value for R2. This value has been derived from the application specific values for R2 in Annex C for steel that ranges between 0,85 and 0,95  (c) This paper calculated the R2 value for steel and set the value to 0,9 (d) A value of 0,81 has been set for R2 for steel in this paper</t>
  </si>
  <si>
    <t>(a) Rydberg et al., 2023  © Ungureanu et al., 2019 (d) Babian, 2022</t>
  </si>
  <si>
    <t>(a) Rolf Willeke, 2024 (b) WorldAutoSteel © JAMA, 2024</t>
  </si>
  <si>
    <t>0,81 - 0,98</t>
  </si>
  <si>
    <t>(a) Steel can be recycled over and over again. It is 100% recyclable and can be recycled into the same quality again and again. he quality of secondary steel equals the quality of primary steel. Therefor Qsin equals 1 and Qsin/Qp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The recycling rate for steel in the automotive sector was 96% in 2019 in the US (c) According to Jim Pritchard, the price for secondary steel in 2023 in the US was betweenaround 400€ per ton. Given that this represents approximately 55% of the primary steel price, Qsin can be set to 0,55. Therefor Qsin/Qp can be set to 0,55. (d) Qsin/Qp ratio has been fixed to 1 for steel in this paper (e) For metals, the quality is assumed to stay the same through recycling. Qsin/Qp=Qsout/Qp=1 has been set ; Metals are eternally recyclable and don't have issues with downcycling or quality issues if the metal is properly recycled. The quality of secondary steel equals the quality of primary steel. Therefor Qsin equals 1 and Qsin/Qp can be set to 1. (f) Qsin/Qp and Qsout/Qp has been set to 1, as steel keeps the metallugircal properties when recycled. The quality of primary steel equals the quality of secondary steel. (g) According to World Steel Association, recycled steel is 25 to 50% cheaper. Qsin can therefor be set between 0,5 and 0,75. Qsin/Qp can be then set between 0,5 to 0,75. (h) This paper set Qsin=1 for steel used in the automotive industry, as it assumes that steel keeps the same quality</t>
  </si>
  <si>
    <t>(a) American Iron and Steel Institute, 2020 (b) World Steel Association, 2021 © Jim Pritchard, 2024 (d) Babian, 2022; Rydberg et al., 2023 € Metals for buildings, 2024; Eu RIC AISBL, 2022 (f) Yang et al., 2024 (g) World Steel Assocation, 2018 (h) Rydberg et al., 2023</t>
  </si>
  <si>
    <t xml:space="preserve">(a) The price of primary steel in germany is around 550€/t. The price of old steel scrap in germany is around 280€/t. Given that this represents approximately 51% of the primary steel price, Qsout can be set to 0,51. Therefor Qsout/Qp can be set to 0,51. (b) This paper assumed  that Qsout/Qp equals 0,95 for rolled-Steel sheet used in the automotive industry (d) Qsout/Qp ratio has been fixed to 1 for steel in this paper; This paper set Qsout=1 for steel used in the automotive industry, as it assumes that steel keeps the same quality (e) For metals, the quality is assumed to stay the same through recycling. Qsin/Qp=Qsout/Qp=1 has been set (f) Qsin/Qp and Qsout/Qp has been set to 1, as steel keeps the metallugircal properties when recycled. The quality ofprimary steel equals the quality of secondary steel. </t>
  </si>
  <si>
    <t>(a) Jactio, 2025; BDSV, 2024 (b) JAMA, 2024 (d) Babian, 2022; Rydberg et al., 2023 € Metals for buildings, 2024; (f) Yang et al., 2024</t>
  </si>
  <si>
    <t>0,51 - 1</t>
  </si>
  <si>
    <t>(a) The global recycling rate of GF-PP is 13%. R2 can be set to R2=0,13 (b) At the moment, GF-PP is not recycled in Germayn. R2 can be set to 0 according to this source © This paper has set R2=0,8 for composite material (d) The recycling rate of composite material in  Europe is 2%. R2 can be set to 0,02</t>
  </si>
  <si>
    <t>(a) Feng, Zhao, Xu, 2016 (b) LAGA, 2019 © Hermansson et al., 2022 (d) U.S. Commercial Service, 2022</t>
  </si>
  <si>
    <t>0 - 0,8</t>
  </si>
  <si>
    <t xml:space="preserve">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 (c) According to this paper, 1kg of virign composite costs around 1€/kg. Since the quality ratios Qsin/Qp and Qsout/Qp are derived by comparing the market price of secondary GF-PP to that of primary GF-PP, it can be assumed that Qp can be set to 1 to establish a consistent benchmark for comparison </t>
  </si>
  <si>
    <t>(a) The Battery Pass consortium, 2023 (b) Hansson, Larsson; 2022 © LAGA, 2019</t>
  </si>
  <si>
    <t xml:space="preserve">(a) The price of mehanical recycled fibers is about 80% of virgin ones (b)  The price of primary GF-PP is around 1€/kg. The price of with mechanical recycling recovered fibers (Qsin) is, according to Shebab et al., 2023, equal to approximately  0,3€/kg. Given that this represents approximately 30% of the primary GF-PP price, Qsin can be set to 0,3. Therefor Qsin/Qp can be set to 0,3. (c) Mechanical recycling looses approximately 22% of strength compared to the compound. Qs can be set to 0,78 and Qsin/Qp equals 0,78. (d) A decrease of the mechanical properties of the recycled GF-PP was indentified between 13,7% and 23,8% for tensile strength, after a recycling process. Qins ranges between 0,76 and 0,86. Qsin/Qp then ranges between 0,76 and 0,86. (e) This paper set the quality ratio of Qsin/Qp for recycled fibers according to the fibre strength loss. The paper assumed a loss of 18% tensile strength for the recycled composite compared to the primary quality. Qsin/Qp has therefor been set to 0,82 and Qsin can be set to 0,82. </t>
  </si>
  <si>
    <t>(a) Gonçalves, Martinho, Oliveira; 2022 (b) Shebab et al., 2023  © Gonçalves, Martinho, Oliveira; 2022 (d) Colucci et al., 2015 € Hermansson et al., 2022</t>
  </si>
  <si>
    <t>0,3 - 0,86</t>
  </si>
  <si>
    <t xml:space="preserve">(a)  The price of primary GF-PP is around 1€/kg. The price of already mechanically recycled and used GF-PP waste (Qsout) is, according to Shebab et al., 2023, equal to approximately  0,2€/kg. Given that this represents approximately 20% of the primary GF-PP price, Qsout can be set to 0,2. Therefor Qsout/Qp can be set to 0,2.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This paper states that GF-PP already undergoes fiber damage throughout a production process. Hence the quality of the outgoing recycled material is impacted by filament strentgth degradation. This limits the recoverable quality of GF-PP after the use-phase as the tensile strength declines up to 27% during processing. Compared to the quality of the ingoing recycled material, an additional quality loss of 27% for the outgoing recycled material would set Qsout between 0,55 and 0,63. Qsout/Qp then ranges between 0,55 and 0,63. </t>
  </si>
  <si>
    <t>(a) Shebab et al., 2023 (b) Hansson, Larsson; 2022 © Ginder, Ker, Ozcan; 2019</t>
  </si>
  <si>
    <t>0,2 - 0,69</t>
  </si>
  <si>
    <t>PDF</t>
  </si>
  <si>
    <t>Fixed value (0,2) - Dirac Delta: 𝛿 (𝑥 − 0.2)</t>
  </si>
  <si>
    <t>Annex C provides an application-specific value of A = 0,2 for aluminium; High demand, low supply of secondary aluminium; Fixed by market study</t>
  </si>
  <si>
    <t>Fixed value (0) - Dirac Delta: 𝛿(𝑥)</t>
  </si>
  <si>
    <t>Market studies indicate rather high recycling rates for aluminum in automotive applications (The lowest bound (76%) represents global averages, which are not representative of the automotive sector. Most automotive-specific values are between 90% and 98%) - Truncated normal reflects real-world variability better than uniform or triangular PDFs --&gt; Truncated Normal 𝑁 (0.92, 0.03) with bounds 0.76≤R 2 ≤0.98 - Weighted mean from industry data.- Matches observed clustering (90%–98%).- Prevents biasing too much towards 98%; std=0,03 allows realistic spread, capturing deviations in recycling efficiency due to process variations.</t>
  </si>
  <si>
    <t>Uniform PDFs are assigned when all values within the range are equally likely.
Triangular PDFs are used when there is a most likely value within the range.
Truncated Normal PDF is used for asymmetry in distribution.
Dirac Delta PDFs are assigned to fixed values.</t>
  </si>
  <si>
    <t>Fixed value (1) - Dirac Delta: δ(x−1)</t>
  </si>
  <si>
    <t>Aluminium maintains high quality after recycling, with minimal degradation; Negligible quality loss in recycled aluminium (metals retain quality) -&gt; Triangular (market study indicates peak peak at 1.0): Minimal degradation occurs, meaning values cluster near 1.0.
The only cases where degradation approaches 0.8 occur when market prices indicate lower secondary material value --&gt; If a range is known and a peak (mode) is known, the triangular distribution is the least biased choice. Triangular T(0.8,1.0,1.0) (mode at 1.0, meaning most recycled aluminum is nearly primary quality).</t>
  </si>
  <si>
    <t>Triangular (0,8; 1; 1); fQsin​​(x)={(2(x−0.8)​/ (1-0.8)^2, ​0.8≤x≤1.; 0, otherwise​</t>
  </si>
  <si>
    <t xml:space="preserve">Truncated Normal (mean=0,92; std=0,03; min=0,76; max=0,98) - fR2​​(x)∝e−(x−0.92)^2/ 2(0.03)^2​,0.76≤x≤0.98 </t>
  </si>
  <si>
    <t>Aluminium maintains high quality after recycling, with minimal degradation (--&gt; Best-case scenario: Aluminum retains 100% of its quality after recycling (𝑄𝑠𝑜𝑢𝑡/𝑄𝑝=1.0); Worst-case scenario: Quality degradation leads to a reduction to 42% of primary quality (𝑄𝑠𝑜𝑢𝑡/𝑄𝑝=0.42), as suggested by scrap pricing data from the London Metal Exchange (LME). Industry-Specific Data: Most aluminum is assumed to retain full quality (1.0); For extrusion materials in automotive, a value of 0.7 is referenced; Economic factors suggest that in some cases, aluminum scrap value corresponds to 42% of primary aluminum.) --&gt; higher values are more frequent than lower values (more aluminum retains its quality) - clustering around common values (1.0 and 0.7). --&gt; Market data suggests a dominant cluster at 1.0 and a secondary cluster at 0.7, making a truncated normal (with skew towards high values) the most robust choice: Truncated Normal 𝑁(0.78,0.15), truncated at 0.42≤𝑄𝑠𝑜𝑢𝑡≤1.0 - Maximizes entropy while considering economic constraints and physical realities.</t>
  </si>
  <si>
    <t>Truncated Normal (mean=0,78; std=0,15; min=0,42; max=1)</t>
  </si>
  <si>
    <t>Fixed value (0,2); Dirac Delta δ(x−0.2)</t>
  </si>
  <si>
    <t>Annex C provides a material-specific value of A = 0.2 for aluminium; High demand, low supply of secondary steel, No variability reported; Fixed by market study</t>
  </si>
  <si>
    <t>Fixed value (0); Dirac Delta δ(x)</t>
  </si>
  <si>
    <t>Current company-specific scenario specifies no recycled input (R1 = 0); Fixed by company data, no uncertainty</t>
  </si>
  <si>
    <t>Truncated Normal (mean=0,9; std=0,07; min=0,81; max=98)</t>
  </si>
  <si>
    <t>Automotive steel recycling rate clusters around 90%-98%; Global recycling rate (82.2%) is lower, but not dominant for automotive applications --&gt; Maximum entropy under range and clustering conditions → Normal is best - Truncated Normal N(0.90,0.07); Truncated Normal was chosen over Triangular/Uniform because it best respects entropy maximization while considering real-world recycling trends - Statistical Summary: Mean 𝜇= 0.9 (0.8975)
Standard Deviation 𝜎=0.07 (0.0695). This suggests clustering near 0.90, but with variability extending from 0.81 to 0.98. --&gt; Entropy level: near max; Captures smooth clustering at 0.90, 0.98</t>
  </si>
  <si>
    <t>Fixed value (1); Dirac Delta δ(x−1)</t>
  </si>
  <si>
    <t>Truncated Normal (mean=0,8; std=0,13; min=0,5; max=1)</t>
  </si>
  <si>
    <t>Recycled steel retains full quality (no downcycling, mean value = 0,8); Steel retains its original properties after recycling, ensuring full sustainability with minimal degradation. The minimum is derived from market research, as the reliability is questionable, a truncated normal allows the value to be centred around the mean value, while still allowing some variability --&gt; Steel is mostly 100% recyclable but market-based variation exists: From the provided sources, the key reported values for Q sin are:
-1.0 (Most sources assume full recyclability); -0.55 (Market price-based value from secondary steel pricing); -0.75 (Intermediate estimate based on cost differences) --&gt; This indicates a strong clustering around 1.0 but with some observations near 0.55 based on economic factors --&gt; Maximizes entropy under known mean/variance constraints. Captures real-world clustering around 1.0.</t>
  </si>
  <si>
    <t>Truncated Normal (mean=0,82; std=0,12; min=0,51; max=1)</t>
  </si>
  <si>
    <t>Recycled steel retains full quality (no downcycling); Steel retains its original properties, ensuring full sustainability with minimal degradation. The minimum is derived from market research, as the reliability is questionable, a truncated normal allows the value to be centred around the mean value, while still allowing some variability --&gt; After incorporating all available sources while emphasizing the automotive context as the most probable, we obtain: 
Mean 0.82 Standard Deviation 0.12 -This confirms that most values cluster near 1.0, but some variation exists due to economic factors affecting secondary steel pricing --&gt; The maximum-entropy principle requires us to choose a distribution that: Respects the known range: 0.51≤Q sout ≤1.0; Represents real-world clustering: Most values are close to 0.9/1.0, but lower values occur due to economic influences; Maximizes entropy while preserving uncertainty.</t>
  </si>
  <si>
    <t>Uniform Distribution: U(0.5,0.8) is the best choice. No strong preference for any one value of A; Maximum entropy choice when only a range is known; Avoids assuming clustering we cannot justify. All values in [0.5,0.8] are equally likely.
--&gt; Justified if there's no strong clustering of values.</t>
  </si>
  <si>
    <t xml:space="preserve">Uniform (min=0,5; max=0,8); fA​(x)={1/0.8−0.5​=1/0.3​,​0.5≤x≤0.8; 0, otherwise​ </t>
  </si>
  <si>
    <t>Company data specifies no recycled composite input; No recycled GF-PP input → Fixed value.</t>
  </si>
  <si>
    <t>Truncated Normal (mean=0,4; std=0,176; min=0; max=0,8)</t>
  </si>
  <si>
    <t>GF-PP recycling varies widely (Market Insights from Literature:Global recycling rate of GF-PP is 13% → R2=0.13 (Feng, Zhao, Xu, 2016).In Germany, GF-PP is not recycled → R2=0.0 (LAGA, 2019). A paper estimates R2=0.8 for composite materials (Hermansson et al., 2022). European composite material recycling rate is 2% → R2=0.02 (U.S. Commercial Service, 2022).), best modeled with normal clustering; TR because better than uniform because some values (0.13, 0.02) are more probable, better than triangular because we lack a clear peak mode --&gt; smooth variation while respecting real-world recycling constraints.</t>
  </si>
  <si>
    <t>TN: Captures clustering near 0.76–0.86 (Market Insights from Literature: 
-Economic Perspective: Recycled GF-PP fibers are valued at approximately 30% of virgin material price → Qsin=0.3Q_{sin} = 0.3Qsin​=0.3 (Shebab et al., 2023); Some estimates suggest recycled GF-PP retains up to 80% of original quality.
-Mechanical Strength Loss: Strength loss varies between 13.7% and 23.8% → Qsin​ ranges from 0.76 to 0.86 (Colucci et al., 2015; Hermansson et al., 2022); One study assumes an 18% tensile strength reduction → Qsin=0.82Q_{sin} = 0.82Qsin​=0.82) --&gt; Better than uniform because values near 0.76–0.86 are more probable; Better than triangular because we lack a well-defined peak; Truncated normal ensures realistic distribution without biasing towards extremes.</t>
  </si>
  <si>
    <t>Truncated Normal (mean=0,58; std=0,12; min=0,36; max=0,86)</t>
  </si>
  <si>
    <t>0.2 is a lower-bound extreme case based purely on market price. Mechanical property data suggests most recycled materials fall between 0.288 and 0.624 (Market Insights from Literature: 
-Economic Perspective: The market value of recycled GF-PP waste is 20% of virgin material price → Qsout=0.2Q_{sout} = 0.2Qsout​=0.2 (Shebab et al., 2023).
-Mechanical Strength Loss Perspective: Each reprocessing step reduces fiber strength: 
20% loss in tensile strength → }Qsout​ ranges from 0.288 to 0.624 (Hansson, Larsson, 2022); 27% additional degradation in filament strength → Qsout ranges between 0.55 and 0.63 (Ginder, Ker, Ozcan, 2019).) --&gt; Truncated normal fits best, not assuming a sharp peak at 0.29-0.63 but still reflecting clustering.</t>
  </si>
  <si>
    <t>Truncated Normal (mean=0,45; std=0,12; min=0,29; max=0,69)</t>
  </si>
  <si>
    <t>uniform</t>
  </si>
  <si>
    <t xml:space="preserve"> 0.5 was chosen based on economic equilibrium considerations (Beton.org, BW, 2011, Yang, 2024, PEF Guide, Mirzaie 2020) but it is not a deterministic fixed value, minor fluctuations/ uncertainty exists in supply and demand, most values cluster around the 0,5 mean, with decreasing probability as you move away (as this is based on the Annex C default list and lit. indicates an equilibrium between offer and demand; A could be slightly higher (0.55) or slightly lower (0.45) depending on regional supply variation --&gt; A truncated normal distribution allows clustering around A = 0.5 but still considers uncertainty - Peak at 0.5 (most probable value) capturing small uncertainty without over-exaggerating spread.</t>
  </si>
  <si>
    <t>According to literature 70% of crushed concrete can be recycled, but zero recyclability is possible in some scenarios (e.g., poor-quality concrete) --&gt; High certainty toward 0.7, while allowing some (small) probability for lower recyclability cases -  Reflects strong certainty toward high recyclability</t>
  </si>
  <si>
    <t>Values range from 0,73 - 1 based on price and material propery/strength market studies, high variability, but values near 0,8 - 0.9 seem more probable.Smooth variation around 0,85 but strictly within realistic limits -Values are primarily clustered around 0.85, but minor fluctuations within the range account for material-specific uncertainties. Extreme values are avoided through truncation, ensuring realistic representation.</t>
  </si>
  <si>
    <t>Market &amp; Literature Insights: Qsout=0.48−0.803: Price-based estimation for recycled aggregates; Qsout=0.75−0.9: Strength-based estimation, considering that recycled concrete can have 10–25% lower strength. --&gt; Qsout values cluster toward the middle-to-upper range (≈0.75−0.8) --&gt; High certainty toward 0.75-0.8, with some probability spread over lower values.</t>
  </si>
  <si>
    <t>Truncated Normal (mean= 0,76 std=0,1; min=0,48 and max=1)</t>
  </si>
  <si>
    <t xml:space="preserve">Carbon Fiber Recycling: (a) R2=G138 0,8  the value is based on data for the recycling process Pyrolysis from Dong et al. (2018) (b) Carbon fiber: R2=0,4 : the value is based on the LCI Data, 41,65% of crushed carbon fiber are recovered during the recycling process Pyrolysis and 95% of these recycled CF (after Pyrolysis) are recovered during the recycling process carbon fiber cutting resulting in a recyclability of carbon fibers of 40% 
[833/2000=0,4165 -&gt; 2000kg CFRP scrap input, 833kg recycled carbon fibers output after pyrolysis] -CRC Recycling: (a) CRC scrap: R2 = 0,97 : the value is based on the LCI Data, the recycling process of crushing produces a proportion of 3% mixed residual fraction of concrete and carbon fibers that is disposed since there is no further use for this fraction -Concrete: (a) Concrete: R2 = 0,48 : the value is based on the LCI Data, the recycling process of crushing produces 97% CRC scrap of which 99% are crushed concrete; The study states that 48% of this crushed concrete can be reused for the production of new carbon concrete due to the appropriate aggregate size, the remaining portion of the crushed concrete is sorted out, but the further usage of the material is assumed - assuming that this fraction is not usable for concrete production </t>
  </si>
  <si>
    <t>(a) Hermansson, F (2022) (b) Luthin (2023); (a) Luthin (2023), Gopalraj (2020); Concrte: Luthin (2023)</t>
  </si>
  <si>
    <t>Qsout/ Qp = 1 : assumption that crushed concrete can be interchangeably used instead of virgin crushed gravel, that scenario can be considered as the closest to the actual use of crushed concrete - indicating that the quality of the concrete does not decline</t>
  </si>
  <si>
    <t>Mirzaie (2020)</t>
  </si>
  <si>
    <t>Qs/ Qp = 0,5 : as for concrete, it can be downcycled as recycled concrete aggregate (RCA); Studies have shown that RCA costs $2.40 per tonne, while natural aggregate costs $4.70 per tonne (Frondistou-Yannas, 1981) 
[2,4/4,7=0,51 ~0,5]</t>
  </si>
  <si>
    <t>Yang (2024)</t>
  </si>
  <si>
    <t>0,48 - 1</t>
  </si>
  <si>
    <r>
      <t xml:space="preserve">(a) Rennig (2023) (b) Uhlig (2023) © Sterk (2023) (d) Thomas (2018) ('e) </t>
    </r>
    <r>
      <rPr>
        <sz val="12"/>
        <color rgb="FFFF0000"/>
        <rFont val="Calibri"/>
        <family val="2"/>
        <scheme val="minor"/>
      </rPr>
      <t>Hamad (2017)</t>
    </r>
    <r>
      <rPr>
        <sz val="12"/>
        <rFont val="Calibri"/>
        <family val="2"/>
        <scheme val="minor"/>
      </rPr>
      <t xml:space="preserve"> (f) Tabsh (2008) (g) Ecra (2015)</t>
    </r>
  </si>
  <si>
    <t>allocation: 60,3% recycled material input of which 99,5% are recycled concrete aggregates and 0,5% are recycled carbon fiber
range for carbon fibers: 0,64 - 0,96
range for concrete: 0,75 - 0,90
1. Qsin/ Qp = 0,995*0,75+0,005*0,64 = 0,749
2. Qsin/ Qp = 0,995*0,90+0,005*0,96 = 0,900</t>
  </si>
  <si>
    <t>(d) Carbon fiber: Qsout/ Qp = 0,05 - 0,17: CF can be recovered from CF scrap at $1,6 - $5,5 per kg with Pyrolysis, which corresponds to 5 - 17% of the cost of virgin CF (e) Carbon fiber: Qsout/ Qp = 0,11 - 0,37 : selling price for carbon fiber scrap is 5,5 €/kg, study does not mention a price for virgin fiber to draw a percentage comparison; the price of virgin carbon fiber is around 15 - 50 €/kg [ELG(2016), Meng(2018), CarbonConcreteComposite(2017)] - resulting in a price reduction of CF scrap compared to virgin CF of 63% - 91%</t>
  </si>
  <si>
    <t>(d) Shehab (2023) € Luthin (2023)</t>
  </si>
  <si>
    <t>(a) Concrete: Qsin/ Qp = 0,48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(b)  Qsout/ Qp = 0,23 - 0,7 : costs for crushed concrete resulting from CRC crushing compared to gravel; selling price for crushed concrete is 0,005€/kg to  0,015€/kg, costs for gravel = 0,0214€/kg 
[0,005/0,0214=0,23 &amp; 0,015/0,0214=0,70]</t>
  </si>
  <si>
    <t>(a) Uhlig (2023) (b) Luthin (2023)</t>
  </si>
  <si>
    <t>allocation: substitute product is crushed at EoL, consits of 2,5% mixed residual fraction and 97,5% CRC scrap (of which 1% are crushed carbon fibers and 99% are crushed concrete) : 
range for carbon fibers: 0,05 - 0,37
range for concrete: 0,23 - 0,7
1. Qsout/ Qp = 0,01*0,05+0,99*0,23 = 0,228
2. Qsout/ Qp = 0,01*0,37+0,99*0,70 = 0,697</t>
  </si>
  <si>
    <t xml:space="preserve">(a) Carbon fiber: Qsout/ Qp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 ratio is only considered for Qsout and not for Qsin as the value in the case study of the source was also only used for Qsout; no assumption is made as to whether the value could also be used for Qsin (b) Carbon fiber: Qsin/ Qp = 0,96 : the process of pyrolysis is capable of retaining fibres with higher mechanical properties, this clarity of effect makes pyrolysis the most studied thermal recycling process; The authors were able to recycle carbon fiber with 96% of its original tensile strength retaining (c) Carbon fiber: Qsin/ Qp = 0,51 - 0,86 : tensile strength of recycled carbon fiber is 10 to 20 % lower compared to virgin fiber - study indicates that the tensile strength decreases by 10-20% as a result of EoL processing; compared to the quality of the ingoing secondary material an additional tensile strength loss of 10 to 20% is accounted for due to the renewed processing of the already recycled CF
[0,64*0,8=0,51 &amp; 0,96*0,9=0,86] (d) Carbon fiber: Qsout/ Qp = 0,61 - 0,92 : Fibre mechanical properties measured using single filament testing before and after pyrolysis for classification and quality control purposes; due to the processing, the CF experiences a reduction of 4% in tensile strength, compared to the ingoing secondary material, the quality drops accordingly by another 4%; study states that reclaimed carbon fibres have similar mechanical properties to the original fibres 
[0,64*0,96=0,61 &amp; 0,96*0,96=0,92]
</t>
  </si>
  <si>
    <t>(a) Hermansson (2022)  (b) Gopalraj (2020) © Gardiner (2014) (d) ELG (2016)</t>
  </si>
  <si>
    <t>(a) Concrete: Qsout/ Qp = 0,67 - 0,81 : 
source studies the effect of replacing part or all of the natural crushed limestone coarse aggregates (NCA) with recycled coarse aggregates (RCA) resulting from tested and crushed concrete cylinders in batching plants, The average reductions in HSC (high strength concrete) were 11, 11.3, 10.3, and 10.8%, respectively - the substitute floor made from CRC can be categorised as HSC - compared to the ingoing secondary material the concrete experiences a strength degradation of 10,3% - 11,3% due to the crushed concrete
[0,75*0,89=0,67 &amp; 0,9*0,9=0,81]</t>
  </si>
  <si>
    <t>(a) Hamad (2017)</t>
  </si>
  <si>
    <t>allocation: substitute product is crushed at EoL, consits of 2,5% mixed residual fraction and 97,5% CRC scrap (of which 1% are crushed carbon fibers and 99% are crushed concrete) : 
range for carbon fibers: 0,51 - 0,96
range for concrete: 0,67 - 0,81
1. Qsout/ Qp = 0,01*0,51+0,99*0,67 = 0,668
2. Qsout/ Qp = 0,01*0,96+0,99*0,81 = 0,81</t>
  </si>
  <si>
    <t>0,23 - 0,81</t>
  </si>
  <si>
    <t>Symmetric uncertainty within 0,5–0,7; no strong evidence for a "most likely" value (mode); the range of 0.5–0.7 for A is reasoned in slightly increasing supply and low-to-moderate demand for recycled composite concrete materials; No clear central value was found, and both low and high values are equally possible --&gt; Uniform Distribution U(0.5, 0.7) is chosen since it represents maximum uncertainty in the range.</t>
  </si>
  <si>
    <t>Uniform (min=0,5; max=0,8)</t>
  </si>
  <si>
    <t>Fixed value (0,6) ; Dirac Delta δ(x-0.6)</t>
  </si>
  <si>
    <t>Fixed value (1); Dirac Delta δ(x-1)</t>
  </si>
  <si>
    <t>0.97 is most likely (market evidence for specifically CRC scarp), but aggrecated and allocated values as low as 0.47 exist in literature. 0.0 is highly unlikely but technically possible. Triangular PDF captures this skewed probability. Triangular distribution maximizes entropy while aligning with real-world data.</t>
  </si>
  <si>
    <t>Triangular (0; 0,97; 0,97)</t>
  </si>
  <si>
    <t>literature shows higher values are more probable. A normal distribution best represents this with truncation.</t>
  </si>
  <si>
    <t>Truncated Normal (mean=0,85; std=0,1; min=0,73; max=0,9)</t>
  </si>
  <si>
    <t>The values near 0.67 are most probable, as price-based and material property estimations place most data points around this region.</t>
  </si>
  <si>
    <t>Truncated Normal (mean=0,67; std=0,1; min=0,23; max=0,81)</t>
  </si>
  <si>
    <t xml:space="preserve">uniform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</si>
</sst>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2">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
      <sz val="12"/>
      <color rgb="FFFF0000"/>
      <name val="Calibri"/>
      <family val="2"/>
      <scheme val="minor"/>
    </font>
  </fonts>
  <fills count="17">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39">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0" fillId="11" borderId="0" xfId="0" applyFill="1"/>
    <xf numFmtId="0" fontId="0" fillId="12" borderId="1" xfId="0" applyFill="1" applyBorder="1" applyAlignment="1">
      <alignment horizontal="left" vertical="top" wrapText="1"/>
    </xf>
    <xf numFmtId="11" fontId="0" fillId="12" borderId="1" xfId="0" applyNumberFormat="1" applyFill="1" applyBorder="1"/>
    <xf numFmtId="11" fontId="18" fillId="12" borderId="1" xfId="0" applyNumberFormat="1" applyFont="1" applyFill="1" applyBorder="1"/>
    <xf numFmtId="0" fontId="2" fillId="13" borderId="0" xfId="0" applyFont="1" applyFill="1"/>
    <xf numFmtId="0" fontId="2" fillId="14" borderId="0" xfId="0" applyFont="1" applyFill="1"/>
    <xf numFmtId="0" fontId="0" fillId="0" borderId="1" xfId="0" applyBorder="1" applyAlignment="1">
      <alignment horizontal="left" vertical="top" wrapText="1"/>
    </xf>
    <xf numFmtId="0" fontId="0" fillId="0" borderId="39" xfId="0" applyBorder="1" applyAlignment="1">
      <alignment horizontal="left" vertical="top" wrapText="1"/>
    </xf>
    <xf numFmtId="0" fontId="2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15" borderId="0" xfId="0" applyFill="1" applyAlignment="1">
      <alignment vertical="top" wrapText="1"/>
    </xf>
    <xf numFmtId="0" fontId="0" fillId="0" borderId="1" xfId="0" applyBorder="1" applyAlignment="1">
      <alignment horizontal="left" vertical="top" wrapText="1"/>
    </xf>
    <xf numFmtId="0" fontId="18" fillId="16" borderId="39" xfId="0" applyFont="1" applyFill="1" applyBorder="1" applyAlignment="1">
      <alignment horizontal="left" vertical="top" wrapText="1"/>
    </xf>
    <xf numFmtId="0" fontId="0" fillId="16" borderId="1" xfId="0" applyFill="1" applyBorder="1" applyAlignment="1">
      <alignment horizontal="left" vertical="top" wrapText="1"/>
    </xf>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0" fillId="0" borderId="54" xfId="0" applyBorder="1" applyAlignment="1">
      <alignment vertical="top"/>
    </xf>
    <xf numFmtId="0" fontId="0" fillId="0" borderId="56" xfId="0" applyBorder="1" applyAlignment="1">
      <alignment vertical="top"/>
    </xf>
    <xf numFmtId="0" fontId="0" fillId="0" borderId="54" xfId="0" applyBorder="1" applyAlignment="1">
      <alignment horizontal="left" vertical="top" wrapText="1"/>
    </xf>
    <xf numFmtId="0" fontId="0" fillId="0" borderId="56" xfId="0" applyBorder="1" applyAlignment="1">
      <alignment horizontal="left" vertical="top" wrapText="1"/>
    </xf>
    <xf numFmtId="0" fontId="19" fillId="10" borderId="81" xfId="3" applyFont="1" applyFill="1" applyBorder="1" applyAlignment="1">
      <alignment horizontal="center"/>
    </xf>
    <xf numFmtId="0" fontId="0" fillId="0" borderId="0" xfId="0" applyAlignment="1">
      <alignment horizontal="center" vertical="center" wrapText="1"/>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10"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1"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5" xfId="0" applyBorder="1" applyAlignment="1">
      <alignment horizontal="left"/>
    </xf>
    <xf numFmtId="0" fontId="0" fillId="0" borderId="4" xfId="0" applyBorder="1" applyAlignment="1">
      <alignment horizontal="left"/>
    </xf>
    <xf numFmtId="0" fontId="0" fillId="0" borderId="19" xfId="0" applyBorder="1" applyAlignment="1">
      <alignment horizontal="left" vertical="top"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3" xfId="0" applyBorder="1" applyAlignment="1">
      <alignment horizontal="center"/>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3" borderId="54" xfId="0" applyFill="1" applyBorder="1" applyAlignment="1">
      <alignment horizontal="left" vertical="top"/>
    </xf>
    <xf numFmtId="0" fontId="0" fillId="3" borderId="56" xfId="0" applyFill="1" applyBorder="1" applyAlignment="1">
      <alignment horizontal="left" vertical="top"/>
    </xf>
    <xf numFmtId="0" fontId="2" fillId="0" borderId="39" xfId="0" applyFont="1" applyBorder="1" applyAlignment="1">
      <alignment horizontal="center"/>
    </xf>
    <xf numFmtId="0" fontId="2" fillId="0" borderId="2" xfId="0" applyFont="1" applyBorder="1" applyAlignment="1">
      <alignment horizontal="center"/>
    </xf>
    <xf numFmtId="0" fontId="0" fillId="3" borderId="57" xfId="0" applyFill="1" applyBorder="1" applyAlignment="1">
      <alignment horizontal="left" vertical="top"/>
    </xf>
    <xf numFmtId="0" fontId="0" fillId="3" borderId="57" xfId="0" applyFill="1" applyBorder="1" applyAlignment="1">
      <alignment horizontal="left" vertical="top" wrapText="1"/>
    </xf>
    <xf numFmtId="0" fontId="2" fillId="4" borderId="1" xfId="3" applyFont="1" applyBorder="1" applyAlignment="1">
      <alignment horizontal="center"/>
    </xf>
    <xf numFmtId="0" fontId="2" fillId="4" borderId="1" xfId="3" applyFont="1" applyBorder="1" applyAlignment="1">
      <alignment horizontal="center" vertical="top" wrapText="1"/>
    </xf>
    <xf numFmtId="0" fontId="0" fillId="0" borderId="1" xfId="0" applyBorder="1" applyAlignment="1">
      <alignment horizontal="left" vertical="top" wrapText="1"/>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19" fillId="4" borderId="1" xfId="3" applyFont="1" applyBorder="1" applyAlignment="1">
      <alignment horizontal="center" vertical="top" wrapText="1"/>
    </xf>
    <xf numFmtId="0" fontId="0" fillId="0" borderId="39"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19" fillId="4" borderId="1" xfId="3" applyFont="1" applyBorder="1" applyAlignment="1">
      <alignment horizontal="center"/>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0" fillId="0" borderId="39" xfId="0" applyBorder="1" applyAlignment="1">
      <alignment horizontal="left" vertical="top"/>
    </xf>
    <xf numFmtId="0" fontId="0" fillId="0" borderId="2" xfId="0" applyBorder="1" applyAlignment="1">
      <alignment horizontal="left" vertical="top"/>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0" borderId="54" xfId="0" applyBorder="1" applyAlignment="1">
      <alignment horizontal="left" vertical="top"/>
    </xf>
    <xf numFmtId="0" fontId="0" fillId="0" borderId="56" xfId="0" applyBorder="1" applyAlignment="1">
      <alignment horizontal="left" vertical="top"/>
    </xf>
    <xf numFmtId="0" fontId="19" fillId="7" borderId="54" xfId="0" applyFont="1" applyFill="1" applyBorder="1" applyAlignment="1">
      <alignment horizontal="left" vertical="top" wrapText="1"/>
    </xf>
    <xf numFmtId="0" fontId="19" fillId="7" borderId="56" xfId="0" applyFont="1" applyFill="1"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0" fillId="0" borderId="57" xfId="0" applyBorder="1" applyAlignment="1">
      <alignment horizontal="left" vertical="top" wrapText="1"/>
    </xf>
    <xf numFmtId="0" fontId="0" fillId="0" borderId="57" xfId="0" applyBorder="1" applyAlignment="1">
      <alignment horizontal="left"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7" xfId="0" applyFont="1" applyBorder="1" applyAlignment="1">
      <alignment horizontal="left" vertical="top" wrapText="1"/>
    </xf>
    <xf numFmtId="0" fontId="20" fillId="0" borderId="56" xfId="0" applyFont="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cellXfs>
  <cellStyles count="6">
    <cellStyle name="20 % - Akzent1" xfId="3" builtinId="30"/>
    <cellStyle name="60 % - Akzent1" xfId="4" builtinId="32"/>
    <cellStyle name="60 % - Akzent3" xfId="1" builtinId="40"/>
    <cellStyle name="Akzent1" xfId="5" builtinId="29"/>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7" zoomScaleNormal="100" workbookViewId="0">
      <selection activeCell="O24" sqref="O24"/>
    </sheetView>
  </sheetViews>
  <sheetFormatPr baseColWidth="10" defaultColWidth="10.85546875" defaultRowHeight="15"/>
  <cols>
    <col min="2" max="2" width="15.140625" customWidth="1"/>
    <col min="14" max="14" width="15.85546875" customWidth="1"/>
    <col min="20" max="20" width="16.28515625" customWidth="1"/>
    <col min="21" max="21" width="25.5703125" customWidth="1"/>
  </cols>
  <sheetData>
    <row r="2" spans="2:22" ht="21">
      <c r="B2" s="172" t="s">
        <v>0</v>
      </c>
      <c r="C2" s="172"/>
      <c r="D2" s="172"/>
      <c r="E2" s="172"/>
      <c r="F2" s="172"/>
      <c r="G2" s="172"/>
    </row>
    <row r="4" spans="2:22" ht="15.75" thickBot="1"/>
    <row r="5" spans="2:22" ht="18.75">
      <c r="N5" t="s">
        <v>1</v>
      </c>
      <c r="O5" s="1" t="s">
        <v>2</v>
      </c>
      <c r="P5" s="7"/>
      <c r="R5" s="2"/>
      <c r="S5" s="173" t="s">
        <v>20</v>
      </c>
      <c r="T5" s="174"/>
      <c r="U5" s="20" t="s">
        <v>3</v>
      </c>
      <c r="V5" s="21"/>
    </row>
    <row r="6" spans="2:22" ht="18.75" thickBot="1">
      <c r="O6" s="1" t="s">
        <v>4</v>
      </c>
      <c r="P6" s="8"/>
      <c r="R6" s="3"/>
      <c r="S6" s="175" t="s">
        <v>21</v>
      </c>
      <c r="T6" s="176"/>
      <c r="U6" s="18" t="s">
        <v>5</v>
      </c>
      <c r="V6" s="19"/>
    </row>
    <row r="7" spans="2:22" ht="15.75">
      <c r="O7" s="1" t="s">
        <v>6</v>
      </c>
      <c r="P7" s="8"/>
      <c r="R7" s="3"/>
      <c r="S7" s="3"/>
      <c r="T7" s="3"/>
    </row>
    <row r="8" spans="2:22" ht="15.75">
      <c r="O8" s="1" t="s">
        <v>7</v>
      </c>
      <c r="P8" s="8"/>
      <c r="R8" s="2"/>
      <c r="S8" s="2"/>
      <c r="T8" s="2"/>
    </row>
    <row r="9" spans="2:22" ht="15.75">
      <c r="O9" s="1" t="s">
        <v>8</v>
      </c>
      <c r="P9" s="8"/>
      <c r="R9" s="2"/>
      <c r="S9" s="2"/>
      <c r="T9" s="2"/>
    </row>
    <row r="10" spans="2:22" ht="15.75">
      <c r="O10" s="1" t="s">
        <v>9</v>
      </c>
      <c r="P10" s="8"/>
      <c r="R10" s="2"/>
      <c r="S10" s="2"/>
      <c r="T10" s="2"/>
    </row>
    <row r="11" spans="2:22" ht="15.75">
      <c r="O11" s="1" t="s">
        <v>10</v>
      </c>
      <c r="P11" s="8"/>
      <c r="R11" s="2"/>
      <c r="S11" s="2"/>
      <c r="T11" s="2"/>
    </row>
    <row r="12" spans="2:22" ht="15.75">
      <c r="O12" s="1" t="s">
        <v>11</v>
      </c>
      <c r="P12" s="8"/>
      <c r="R12" s="2"/>
      <c r="S12" s="2"/>
      <c r="T12" s="2"/>
    </row>
    <row r="13" spans="2:22" ht="15.75">
      <c r="O13" s="1" t="s">
        <v>12</v>
      </c>
      <c r="P13" s="8"/>
      <c r="R13" s="2"/>
      <c r="S13" s="2"/>
      <c r="T13" s="2"/>
    </row>
    <row r="14" spans="2:22" ht="15.75">
      <c r="O14" s="1" t="s">
        <v>13</v>
      </c>
      <c r="P14" s="8"/>
      <c r="R14" s="2"/>
      <c r="S14" s="2"/>
      <c r="T14" s="2"/>
    </row>
    <row r="15" spans="2:22" ht="15.75">
      <c r="O15" s="1" t="s">
        <v>14</v>
      </c>
      <c r="P15" s="8"/>
      <c r="R15" s="2"/>
      <c r="S15" s="2"/>
      <c r="T15" s="2"/>
    </row>
    <row r="17" spans="14:21">
      <c r="N17" s="5" t="s">
        <v>15</v>
      </c>
      <c r="O17" s="177" t="s">
        <v>16</v>
      </c>
      <c r="P17" s="177"/>
      <c r="Q17" s="177"/>
      <c r="R17" s="177"/>
      <c r="S17" s="177"/>
      <c r="T17" s="177"/>
      <c r="U17" s="177"/>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A157" zoomScale="70" zoomScaleNormal="70" workbookViewId="0">
      <selection activeCell="E189" sqref="E189"/>
    </sheetView>
  </sheetViews>
  <sheetFormatPr baseColWidth="10" defaultColWidth="10.85546875" defaultRowHeight="15"/>
  <cols>
    <col min="1" max="1" width="19.42578125" customWidth="1"/>
    <col min="2" max="2" width="104.5703125" customWidth="1"/>
    <col min="3" max="3" width="42" customWidth="1"/>
    <col min="4" max="4" width="54.85546875" customWidth="1"/>
    <col min="5" max="5" width="81.85546875" customWidth="1"/>
    <col min="6" max="6" width="52.140625" customWidth="1"/>
  </cols>
  <sheetData>
    <row r="1" spans="1:13" ht="15.75" thickBot="1"/>
    <row r="2" spans="1:13" ht="15.75" thickBot="1">
      <c r="B2" s="129" t="s">
        <v>64</v>
      </c>
    </row>
    <row r="3" spans="1:13" ht="15.75" thickBot="1"/>
    <row r="4" spans="1:13" ht="15.75" thickBot="1">
      <c r="A4" s="131" t="s">
        <v>577</v>
      </c>
      <c r="B4" s="178" t="s">
        <v>578</v>
      </c>
      <c r="C4" s="179"/>
      <c r="D4" s="179"/>
      <c r="E4" s="180"/>
      <c r="F4" s="130"/>
      <c r="G4" s="130"/>
      <c r="H4" s="130"/>
      <c r="I4" s="130"/>
      <c r="J4" s="130"/>
      <c r="K4" s="130"/>
      <c r="L4" s="130"/>
      <c r="M4" s="130"/>
    </row>
    <row r="5" spans="1:13" ht="15.75" thickBot="1"/>
    <row r="6" spans="1:13" ht="15.75" thickBot="1">
      <c r="A6" s="132">
        <v>0.95</v>
      </c>
      <c r="B6" s="184" t="s">
        <v>581</v>
      </c>
      <c r="C6" s="185"/>
      <c r="D6" s="185"/>
      <c r="E6" s="186"/>
    </row>
    <row r="7" spans="1:13">
      <c r="B7" s="115" t="s">
        <v>162</v>
      </c>
      <c r="C7" s="128" t="s">
        <v>81</v>
      </c>
      <c r="D7" s="128"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7" t="s">
        <v>168</v>
      </c>
      <c r="C13" s="148">
        <v>1.331</v>
      </c>
      <c r="D13" s="149">
        <v>1.1809999999999999E-2</v>
      </c>
      <c r="E13" s="150">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75" thickBot="1"/>
    <row r="21" spans="1:5" ht="15.75" thickBot="1">
      <c r="A21" s="132">
        <v>0.05</v>
      </c>
      <c r="B21" s="184" t="s">
        <v>582</v>
      </c>
      <c r="C21" s="185"/>
      <c r="D21" s="185"/>
      <c r="E21" s="186"/>
    </row>
    <row r="22" spans="1:5">
      <c r="B22" s="115" t="s">
        <v>162</v>
      </c>
      <c r="C22" s="128" t="s">
        <v>81</v>
      </c>
      <c r="D22" s="128" t="s">
        <v>175</v>
      </c>
      <c r="E22" s="115" t="s">
        <v>177</v>
      </c>
    </row>
    <row r="23" spans="1:5">
      <c r="B23" s="1" t="s">
        <v>163</v>
      </c>
      <c r="C23" s="56">
        <v>3.2300000000000002E-7</v>
      </c>
      <c r="D23" s="57">
        <v>1.09E-10</v>
      </c>
      <c r="E23" s="44">
        <v>1.1700000000000001E-8</v>
      </c>
    </row>
    <row r="24" spans="1:5">
      <c r="B24" s="1" t="s">
        <v>164</v>
      </c>
      <c r="C24" s="56">
        <v>4.24</v>
      </c>
      <c r="D24" s="57">
        <v>8.2400000000000008E-3</v>
      </c>
      <c r="E24" s="44">
        <v>7.3</v>
      </c>
    </row>
    <row r="25" spans="1:5">
      <c r="B25" s="1" t="s">
        <v>165</v>
      </c>
      <c r="C25" s="56">
        <v>6.11E-4</v>
      </c>
      <c r="D25" s="57">
        <v>1.5400000000000001E-6</v>
      </c>
      <c r="E25" s="44">
        <v>1.74E-3</v>
      </c>
    </row>
    <row r="26" spans="1:5">
      <c r="B26" s="1" t="s">
        <v>166</v>
      </c>
      <c r="C26" s="56">
        <v>1.17E-4</v>
      </c>
      <c r="D26" s="57">
        <v>1.6500000000000001E-7</v>
      </c>
      <c r="E26" s="44">
        <v>1.73E-4</v>
      </c>
    </row>
    <row r="27" spans="1:5">
      <c r="B27" s="1" t="s">
        <v>167</v>
      </c>
      <c r="C27" s="56">
        <v>8.1400000000000005E-4</v>
      </c>
      <c r="D27" s="57">
        <v>1.37E-6</v>
      </c>
      <c r="E27" s="44">
        <v>1.0300000000000001E-3</v>
      </c>
    </row>
    <row r="28" spans="1:5">
      <c r="B28" s="147" t="s">
        <v>168</v>
      </c>
      <c r="C28" s="148">
        <v>0.42699999999999999</v>
      </c>
      <c r="D28" s="149">
        <v>5.6899999999999995E-4</v>
      </c>
      <c r="E28" s="150">
        <v>0.81599999999999995</v>
      </c>
    </row>
    <row r="29" spans="1:5">
      <c r="B29" s="1" t="s">
        <v>169</v>
      </c>
      <c r="C29" s="56">
        <v>0.42699999999999999</v>
      </c>
      <c r="D29" s="57">
        <v>5.7600000000000001E-4</v>
      </c>
      <c r="E29" s="44">
        <v>0.81599999999999995</v>
      </c>
    </row>
    <row r="30" spans="1:5">
      <c r="B30" s="1" t="s">
        <v>170</v>
      </c>
      <c r="C30" s="56">
        <v>1.67E-2</v>
      </c>
      <c r="D30" s="57">
        <v>1.66E-5</v>
      </c>
      <c r="E30" s="44">
        <v>7.5899999999999995E-2</v>
      </c>
    </row>
    <row r="31" spans="1:5">
      <c r="B31" s="1" t="s">
        <v>171</v>
      </c>
      <c r="C31" s="56">
        <v>50.2</v>
      </c>
      <c r="D31" s="57">
        <v>5.2499999999999998E-2</v>
      </c>
      <c r="E31" s="44">
        <v>42.6</v>
      </c>
    </row>
    <row r="32" spans="1:5">
      <c r="B32" s="1" t="s">
        <v>172</v>
      </c>
      <c r="C32" s="56">
        <v>1.6999999999999999E-11</v>
      </c>
      <c r="D32" s="57">
        <v>9.2700000000000007E-16</v>
      </c>
      <c r="E32" s="44">
        <v>6.8300000000000002E-13</v>
      </c>
    </row>
    <row r="33" spans="2:6">
      <c r="B33" s="1" t="s">
        <v>173</v>
      </c>
      <c r="C33" s="56">
        <v>4.0800000000000002E-5</v>
      </c>
      <c r="D33" s="57">
        <v>1.42E-7</v>
      </c>
      <c r="E33" s="44">
        <v>2.4399999999999999E-4</v>
      </c>
    </row>
    <row r="34" spans="2:6">
      <c r="B34" s="1" t="s">
        <v>174</v>
      </c>
      <c r="C34" s="56">
        <v>6.02E-4</v>
      </c>
      <c r="D34" s="57">
        <v>6.3300000000000004E-6</v>
      </c>
      <c r="E34" s="44">
        <v>5.9299999999999999E-4</v>
      </c>
    </row>
    <row r="36" spans="2:6" ht="15.75" thickBot="1"/>
    <row r="37" spans="2:6" ht="15.75" thickBot="1">
      <c r="B37" s="181" t="s">
        <v>579</v>
      </c>
      <c r="C37" s="182"/>
      <c r="D37" s="182"/>
      <c r="E37" s="183"/>
    </row>
    <row r="38" spans="2:6">
      <c r="B38" s="73" t="s">
        <v>179</v>
      </c>
      <c r="C38" s="136" t="s">
        <v>189</v>
      </c>
      <c r="D38" s="115" t="s">
        <v>789</v>
      </c>
      <c r="E38" s="115" t="s">
        <v>591</v>
      </c>
    </row>
    <row r="39" spans="2:6" ht="30">
      <c r="B39" s="187" t="s">
        <v>600</v>
      </c>
      <c r="C39" s="189">
        <v>0.2</v>
      </c>
      <c r="D39" s="34" t="s">
        <v>790</v>
      </c>
      <c r="E39" s="137" t="s">
        <v>791</v>
      </c>
    </row>
    <row r="40" spans="2:6" ht="15" hidden="1" customHeight="1">
      <c r="B40" s="188"/>
      <c r="C40" s="190"/>
      <c r="D40" s="1"/>
      <c r="E40" s="1"/>
    </row>
    <row r="41" spans="2:6">
      <c r="B41" s="34" t="s">
        <v>595</v>
      </c>
      <c r="C41" s="133">
        <v>0</v>
      </c>
      <c r="D41" s="34" t="s">
        <v>792</v>
      </c>
      <c r="E41" s="137" t="s">
        <v>607</v>
      </c>
    </row>
    <row r="42" spans="2:6" ht="120">
      <c r="B42" s="138" t="s">
        <v>596</v>
      </c>
      <c r="C42" s="133" t="s">
        <v>764</v>
      </c>
      <c r="D42" s="165" t="s">
        <v>798</v>
      </c>
      <c r="E42" s="165" t="s">
        <v>793</v>
      </c>
      <c r="F42" s="168" t="s">
        <v>794</v>
      </c>
    </row>
    <row r="43" spans="2:6">
      <c r="B43" s="34" t="s">
        <v>597</v>
      </c>
      <c r="C43" s="133">
        <v>1</v>
      </c>
      <c r="D43" s="1" t="s">
        <v>795</v>
      </c>
      <c r="E43" s="1" t="s">
        <v>592</v>
      </c>
    </row>
    <row r="44" spans="2:6" ht="105">
      <c r="B44" s="138" t="s">
        <v>598</v>
      </c>
      <c r="C44" s="133" t="s">
        <v>688</v>
      </c>
      <c r="D44" s="45" t="s">
        <v>797</v>
      </c>
      <c r="E44" s="45" t="s">
        <v>796</v>
      </c>
    </row>
    <row r="45" spans="2:6" ht="195">
      <c r="B45" s="34" t="s">
        <v>599</v>
      </c>
      <c r="C45" s="133" t="s">
        <v>767</v>
      </c>
      <c r="D45" s="36" t="s">
        <v>800</v>
      </c>
      <c r="E45" s="165" t="s">
        <v>799</v>
      </c>
    </row>
    <row r="46" spans="2:6" ht="15.75" thickBot="1"/>
    <row r="47" spans="2:6" ht="15.75" thickBot="1">
      <c r="B47" s="181" t="s">
        <v>580</v>
      </c>
      <c r="C47" s="182"/>
      <c r="D47" s="182"/>
      <c r="E47" s="183"/>
    </row>
    <row r="48" spans="2:6">
      <c r="B48" s="73" t="s">
        <v>179</v>
      </c>
      <c r="C48" s="136" t="s">
        <v>189</v>
      </c>
      <c r="D48" s="115" t="s">
        <v>590</v>
      </c>
      <c r="E48" s="115" t="s">
        <v>591</v>
      </c>
    </row>
    <row r="49" spans="1:5" ht="30.75" customHeight="1">
      <c r="B49" s="187" t="s">
        <v>600</v>
      </c>
      <c r="C49" s="189">
        <v>0.2</v>
      </c>
      <c r="D49" s="191" t="s">
        <v>801</v>
      </c>
      <c r="E49" s="193" t="s">
        <v>802</v>
      </c>
    </row>
    <row r="50" spans="1:5" ht="4.5" customHeight="1">
      <c r="B50" s="188"/>
      <c r="C50" s="190"/>
      <c r="D50" s="192"/>
      <c r="E50" s="194"/>
    </row>
    <row r="51" spans="1:5" ht="30">
      <c r="B51" s="34" t="s">
        <v>595</v>
      </c>
      <c r="C51" s="133">
        <v>0</v>
      </c>
      <c r="D51" s="34" t="s">
        <v>803</v>
      </c>
      <c r="E51" s="137" t="s">
        <v>804</v>
      </c>
    </row>
    <row r="52" spans="1:5" ht="135">
      <c r="B52" s="138" t="s">
        <v>596</v>
      </c>
      <c r="C52" s="133" t="s">
        <v>772</v>
      </c>
      <c r="D52" s="37" t="s">
        <v>805</v>
      </c>
      <c r="E52" s="36" t="s">
        <v>806</v>
      </c>
    </row>
    <row r="53" spans="1:5">
      <c r="B53" s="34" t="s">
        <v>597</v>
      </c>
      <c r="C53" s="133">
        <v>1</v>
      </c>
      <c r="D53" s="1" t="s">
        <v>807</v>
      </c>
      <c r="E53" s="1" t="s">
        <v>592</v>
      </c>
    </row>
    <row r="54" spans="1:5" ht="165">
      <c r="B54" s="138" t="s">
        <v>598</v>
      </c>
      <c r="C54" s="133" t="s">
        <v>614</v>
      </c>
      <c r="D54" s="165" t="s">
        <v>808</v>
      </c>
      <c r="E54" s="45" t="s">
        <v>809</v>
      </c>
    </row>
    <row r="55" spans="1:5" ht="180">
      <c r="B55" s="34" t="s">
        <v>599</v>
      </c>
      <c r="C55" s="133" t="s">
        <v>777</v>
      </c>
      <c r="D55" s="37" t="s">
        <v>810</v>
      </c>
      <c r="E55" s="45" t="s">
        <v>811</v>
      </c>
    </row>
    <row r="57" spans="1:5" ht="15.75" thickBot="1"/>
    <row r="58" spans="1:5" ht="15.75" thickBot="1">
      <c r="A58" s="131" t="s">
        <v>577</v>
      </c>
      <c r="B58" s="178" t="s">
        <v>432</v>
      </c>
      <c r="C58" s="179"/>
      <c r="D58" s="179"/>
      <c r="E58" s="180"/>
    </row>
    <row r="60" spans="1:5" ht="15.75" thickBot="1"/>
    <row r="61" spans="1:5" ht="15.75" thickBot="1">
      <c r="A61" s="132">
        <v>0.54</v>
      </c>
      <c r="B61" s="184" t="s">
        <v>581</v>
      </c>
      <c r="C61" s="185"/>
      <c r="D61" s="185"/>
      <c r="E61" s="186"/>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7" t="s">
        <v>168</v>
      </c>
      <c r="C68" s="151">
        <v>37.14</v>
      </c>
      <c r="D68" s="149">
        <v>0.72699999999999998</v>
      </c>
      <c r="E68" s="150">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75" thickBot="1"/>
    <row r="76" spans="1:5" ht="15.75" thickBot="1">
      <c r="A76" s="134">
        <v>4.4999999999999998E-2</v>
      </c>
      <c r="B76" s="184" t="s">
        <v>582</v>
      </c>
      <c r="C76" s="185"/>
      <c r="D76" s="185"/>
      <c r="E76" s="186"/>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7" t="s">
        <v>168</v>
      </c>
      <c r="C83" s="150">
        <v>0.77300000000000002</v>
      </c>
      <c r="D83" s="149">
        <v>0.40467270881237499</v>
      </c>
      <c r="E83" s="150">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75" thickBot="1"/>
    <row r="91" spans="1:6" ht="15.75" thickBot="1">
      <c r="A91" s="134">
        <v>0.41499999999999998</v>
      </c>
      <c r="B91" s="181" t="s">
        <v>583</v>
      </c>
      <c r="C91" s="182"/>
      <c r="D91" s="182"/>
      <c r="E91" s="182"/>
      <c r="F91" s="195"/>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7" t="s">
        <v>168</v>
      </c>
      <c r="C98" s="150">
        <v>3.83</v>
      </c>
      <c r="D98" s="149">
        <v>0.369760652920962</v>
      </c>
      <c r="E98" s="150">
        <v>7.4501280068728498E-3</v>
      </c>
      <c r="F98" s="152">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75" thickBot="1"/>
    <row r="107" spans="2:6" ht="15.75" thickBot="1">
      <c r="B107" s="181" t="s">
        <v>579</v>
      </c>
      <c r="C107" s="182"/>
      <c r="D107" s="182"/>
      <c r="E107" s="183"/>
    </row>
    <row r="108" spans="2:6">
      <c r="B108" s="73" t="s">
        <v>179</v>
      </c>
      <c r="C108" s="136" t="s">
        <v>189</v>
      </c>
      <c r="D108" s="115" t="s">
        <v>590</v>
      </c>
      <c r="E108" s="115" t="s">
        <v>591</v>
      </c>
    </row>
    <row r="109" spans="2:6" ht="30.75" customHeight="1">
      <c r="B109" s="187" t="s">
        <v>600</v>
      </c>
      <c r="C109" s="189">
        <v>0.2</v>
      </c>
      <c r="D109" s="167" t="s">
        <v>790</v>
      </c>
      <c r="E109" s="137" t="s">
        <v>791</v>
      </c>
    </row>
    <row r="110" spans="2:6" ht="0.75" customHeight="1">
      <c r="B110" s="188"/>
      <c r="C110" s="190"/>
      <c r="D110" s="1"/>
      <c r="E110" s="1"/>
    </row>
    <row r="111" spans="2:6" ht="18" customHeight="1">
      <c r="B111" s="34" t="s">
        <v>595</v>
      </c>
      <c r="C111" s="133">
        <v>0</v>
      </c>
      <c r="D111" s="167" t="s">
        <v>792</v>
      </c>
      <c r="E111" s="137" t="s">
        <v>607</v>
      </c>
    </row>
    <row r="112" spans="2:6" ht="120">
      <c r="B112" s="138" t="s">
        <v>596</v>
      </c>
      <c r="C112" s="133" t="s">
        <v>764</v>
      </c>
      <c r="D112" s="166" t="s">
        <v>798</v>
      </c>
      <c r="E112" s="166" t="s">
        <v>793</v>
      </c>
    </row>
    <row r="113" spans="2:5">
      <c r="B113" s="34" t="s">
        <v>597</v>
      </c>
      <c r="C113" s="133">
        <v>1</v>
      </c>
      <c r="D113" s="1" t="s">
        <v>795</v>
      </c>
      <c r="E113" s="1" t="s">
        <v>592</v>
      </c>
    </row>
    <row r="114" spans="2:5" ht="105">
      <c r="B114" s="138" t="s">
        <v>598</v>
      </c>
      <c r="C114" s="133" t="s">
        <v>688</v>
      </c>
      <c r="D114" s="45" t="s">
        <v>797</v>
      </c>
      <c r="E114" s="45" t="s">
        <v>796</v>
      </c>
    </row>
    <row r="115" spans="2:5" ht="195">
      <c r="B115" s="34" t="s">
        <v>599</v>
      </c>
      <c r="C115" s="133" t="s">
        <v>767</v>
      </c>
      <c r="D115" s="166" t="s">
        <v>800</v>
      </c>
      <c r="E115" s="166" t="s">
        <v>799</v>
      </c>
    </row>
    <row r="116" spans="2:5" ht="15.75" thickBot="1"/>
    <row r="117" spans="2:5" ht="15.75" thickBot="1">
      <c r="B117" s="181" t="s">
        <v>580</v>
      </c>
      <c r="C117" s="182"/>
      <c r="D117" s="182"/>
      <c r="E117" s="183"/>
    </row>
    <row r="118" spans="2:5">
      <c r="B118" s="73" t="s">
        <v>179</v>
      </c>
      <c r="C118" s="136" t="s">
        <v>189</v>
      </c>
      <c r="D118" s="115" t="s">
        <v>590</v>
      </c>
      <c r="E118" s="115" t="s">
        <v>591</v>
      </c>
    </row>
    <row r="119" spans="2:5" ht="15" customHeight="1">
      <c r="B119" s="187" t="s">
        <v>600</v>
      </c>
      <c r="C119" s="189">
        <v>0.2</v>
      </c>
      <c r="D119" s="191" t="s">
        <v>801</v>
      </c>
      <c r="E119" s="193" t="s">
        <v>802</v>
      </c>
    </row>
    <row r="120" spans="2:5">
      <c r="B120" s="188"/>
      <c r="C120" s="190"/>
      <c r="D120" s="192"/>
      <c r="E120" s="194"/>
    </row>
    <row r="121" spans="2:5" ht="30">
      <c r="B121" s="34" t="s">
        <v>595</v>
      </c>
      <c r="C121" s="133">
        <v>0</v>
      </c>
      <c r="D121" s="167" t="s">
        <v>803</v>
      </c>
      <c r="E121" s="137" t="s">
        <v>804</v>
      </c>
    </row>
    <row r="122" spans="2:5" ht="45" customHeight="1">
      <c r="B122" s="138" t="s">
        <v>596</v>
      </c>
      <c r="C122" s="133" t="s">
        <v>772</v>
      </c>
      <c r="D122" s="37" t="s">
        <v>805</v>
      </c>
      <c r="E122" s="166" t="s">
        <v>806</v>
      </c>
    </row>
    <row r="123" spans="2:5">
      <c r="B123" s="34" t="s">
        <v>597</v>
      </c>
      <c r="C123" s="133">
        <v>1</v>
      </c>
      <c r="D123" s="1" t="s">
        <v>807</v>
      </c>
      <c r="E123" s="1" t="s">
        <v>592</v>
      </c>
    </row>
    <row r="124" spans="2:5" ht="165">
      <c r="B124" s="138" t="s">
        <v>598</v>
      </c>
      <c r="C124" s="133" t="s">
        <v>614</v>
      </c>
      <c r="D124" s="166" t="s">
        <v>808</v>
      </c>
      <c r="E124" s="45" t="s">
        <v>809</v>
      </c>
    </row>
    <row r="125" spans="2:5" ht="180">
      <c r="B125" s="34" t="s">
        <v>599</v>
      </c>
      <c r="C125" s="133" t="s">
        <v>777</v>
      </c>
      <c r="D125" s="37" t="s">
        <v>810</v>
      </c>
      <c r="E125" s="45" t="s">
        <v>811</v>
      </c>
    </row>
    <row r="126" spans="2:5" ht="15.75" thickBot="1"/>
    <row r="127" spans="2:5" ht="15.75" thickBot="1">
      <c r="B127" s="181" t="s">
        <v>584</v>
      </c>
      <c r="C127" s="182"/>
      <c r="D127" s="182"/>
      <c r="E127" s="183"/>
    </row>
    <row r="128" spans="2:5">
      <c r="B128" s="73" t="s">
        <v>179</v>
      </c>
      <c r="C128" s="136" t="s">
        <v>189</v>
      </c>
      <c r="D128" s="115" t="s">
        <v>590</v>
      </c>
      <c r="E128" s="115" t="s">
        <v>591</v>
      </c>
    </row>
    <row r="129" spans="2:5" ht="15" customHeight="1">
      <c r="B129" s="187" t="s">
        <v>600</v>
      </c>
      <c r="C129" s="189" t="s">
        <v>554</v>
      </c>
      <c r="D129" s="193" t="s">
        <v>813</v>
      </c>
      <c r="E129" s="193" t="s">
        <v>812</v>
      </c>
    </row>
    <row r="130" spans="2:5" ht="48.75" customHeight="1">
      <c r="B130" s="188"/>
      <c r="C130" s="190"/>
      <c r="D130" s="194"/>
      <c r="E130" s="194"/>
    </row>
    <row r="131" spans="2:5">
      <c r="B131" s="34" t="s">
        <v>595</v>
      </c>
      <c r="C131" s="133">
        <v>0</v>
      </c>
      <c r="D131" s="1" t="s">
        <v>803</v>
      </c>
      <c r="E131" s="1" t="s">
        <v>814</v>
      </c>
    </row>
    <row r="132" spans="2:5" ht="113.25" customHeight="1">
      <c r="B132" s="138" t="s">
        <v>596</v>
      </c>
      <c r="C132" s="133" t="s">
        <v>780</v>
      </c>
      <c r="D132" s="37" t="s">
        <v>815</v>
      </c>
      <c r="E132" s="166" t="s">
        <v>816</v>
      </c>
    </row>
    <row r="133" spans="2:5">
      <c r="B133" s="34" t="s">
        <v>597</v>
      </c>
      <c r="C133" s="133">
        <v>1</v>
      </c>
      <c r="D133" s="1" t="s">
        <v>807</v>
      </c>
      <c r="E133" s="1" t="s">
        <v>592</v>
      </c>
    </row>
    <row r="134" spans="2:5" ht="150">
      <c r="B134" s="138" t="s">
        <v>598</v>
      </c>
      <c r="C134" s="133" t="s">
        <v>785</v>
      </c>
      <c r="D134" s="166" t="s">
        <v>818</v>
      </c>
      <c r="E134" s="166" t="s">
        <v>817</v>
      </c>
    </row>
    <row r="135" spans="2:5" ht="150">
      <c r="B135" s="34" t="s">
        <v>599</v>
      </c>
      <c r="C135" s="133" t="s">
        <v>788</v>
      </c>
      <c r="D135" s="166" t="s">
        <v>820</v>
      </c>
      <c r="E135" s="166" t="s">
        <v>819</v>
      </c>
    </row>
    <row r="137" spans="2:5" ht="15.75" thickBot="1"/>
    <row r="138" spans="2:5" ht="15.75" thickBot="1">
      <c r="B138" s="129" t="s">
        <v>585</v>
      </c>
    </row>
    <row r="139" spans="2:5" ht="15.75" thickBot="1"/>
    <row r="140" spans="2:5" ht="15.75" thickBot="1">
      <c r="B140" s="178" t="s">
        <v>300</v>
      </c>
      <c r="C140" s="179"/>
      <c r="D140" s="179"/>
      <c r="E140" s="180"/>
    </row>
    <row r="141" spans="2:5" ht="15.75" thickBot="1"/>
    <row r="142" spans="2:5" ht="15.75" thickBot="1">
      <c r="B142" s="178" t="s">
        <v>586</v>
      </c>
      <c r="C142" s="179"/>
      <c r="D142" s="179"/>
      <c r="E142" s="180"/>
    </row>
    <row r="143" spans="2:5">
      <c r="B143" s="1" t="s">
        <v>162</v>
      </c>
      <c r="C143" s="58" t="s">
        <v>81</v>
      </c>
      <c r="D143" s="58" t="s">
        <v>175</v>
      </c>
      <c r="E143" s="58" t="s">
        <v>177</v>
      </c>
    </row>
    <row r="144" spans="2:5">
      <c r="B144" s="157" t="s">
        <v>163</v>
      </c>
      <c r="C144" s="158">
        <v>9.2199999999999998E-6</v>
      </c>
      <c r="D144" s="159">
        <v>3.8800000000000001E-6</v>
      </c>
      <c r="E144" s="158">
        <v>4.4900000000000002E-4</v>
      </c>
    </row>
    <row r="145" spans="2:5">
      <c r="B145" s="157" t="s">
        <v>164</v>
      </c>
      <c r="C145" s="158">
        <v>1030</v>
      </c>
      <c r="D145" s="159">
        <v>137</v>
      </c>
      <c r="E145" s="158">
        <v>1140</v>
      </c>
    </row>
    <row r="146" spans="2:5">
      <c r="B146" s="157" t="s">
        <v>165</v>
      </c>
      <c r="C146" s="158">
        <v>3.6299999999999999E-2</v>
      </c>
      <c r="D146" s="159">
        <v>6.1199999999999997E-2</v>
      </c>
      <c r="E146" s="158">
        <v>0.108</v>
      </c>
    </row>
    <row r="147" spans="2:5">
      <c r="B147" s="157" t="s">
        <v>166</v>
      </c>
      <c r="C147" s="158">
        <v>6.2300000000000003E-3</v>
      </c>
      <c r="D147" s="159">
        <v>6.8500000000000002E-3</v>
      </c>
      <c r="E147" s="158">
        <v>1.8100000000000002E-2</v>
      </c>
    </row>
    <row r="148" spans="2:5">
      <c r="B148" s="36" t="s">
        <v>167</v>
      </c>
      <c r="C148" s="44">
        <v>0.40500000000000003</v>
      </c>
      <c r="D148" s="57">
        <v>4.2299999999999997E-2</v>
      </c>
      <c r="E148" s="44">
        <v>0.10100000000000001</v>
      </c>
    </row>
    <row r="149" spans="2:5">
      <c r="B149" s="147" t="s">
        <v>168</v>
      </c>
      <c r="C149" s="150">
        <v>7.63</v>
      </c>
      <c r="D149" s="149">
        <v>10.199999999999999</v>
      </c>
      <c r="E149" s="150">
        <v>156</v>
      </c>
    </row>
    <row r="150" spans="2:5">
      <c r="B150" s="36" t="s">
        <v>169</v>
      </c>
      <c r="C150" s="44">
        <v>11.6</v>
      </c>
      <c r="D150" s="57">
        <v>10.6</v>
      </c>
      <c r="E150" s="44">
        <v>156</v>
      </c>
    </row>
    <row r="151" spans="2:5">
      <c r="B151" s="157" t="s">
        <v>170</v>
      </c>
      <c r="C151" s="158">
        <v>1.32</v>
      </c>
      <c r="D151" s="159">
        <v>0.52600000000000002</v>
      </c>
      <c r="E151" s="158">
        <v>4.6100000000000003</v>
      </c>
    </row>
    <row r="152" spans="2:5">
      <c r="B152" s="36" t="s">
        <v>171</v>
      </c>
      <c r="C152" s="44">
        <v>1330</v>
      </c>
      <c r="D152" s="57">
        <v>2210</v>
      </c>
      <c r="E152" s="44">
        <v>3890</v>
      </c>
    </row>
    <row r="153" spans="2:5">
      <c r="B153" s="157" t="s">
        <v>172</v>
      </c>
      <c r="C153" s="158">
        <v>6.2800000000000005E-11</v>
      </c>
      <c r="D153" s="159">
        <v>3.0099999999999998E-11</v>
      </c>
      <c r="E153" s="158">
        <v>5.2700000000000004E-10</v>
      </c>
    </row>
    <row r="154" spans="2:5">
      <c r="B154" s="157" t="s">
        <v>173</v>
      </c>
      <c r="C154" s="158">
        <v>5.4900000000000001E-3</v>
      </c>
      <c r="D154" s="159">
        <v>4.7699999999999999E-3</v>
      </c>
      <c r="E154" s="158">
        <v>9.3100000000000006E-3</v>
      </c>
    </row>
    <row r="155" spans="2:5">
      <c r="B155" s="36" t="s">
        <v>174</v>
      </c>
      <c r="C155" s="44">
        <v>0.152</v>
      </c>
      <c r="D155" s="57">
        <v>0.28299999999999997</v>
      </c>
      <c r="E155" s="44">
        <v>0.19500000000000001</v>
      </c>
    </row>
    <row r="156" spans="2:5" ht="15.75" thickBot="1"/>
    <row r="157" spans="2:5" ht="15.75" thickBot="1">
      <c r="B157" s="181" t="s">
        <v>587</v>
      </c>
      <c r="C157" s="182"/>
      <c r="D157" s="182"/>
      <c r="E157" s="183"/>
    </row>
    <row r="158" spans="2:5">
      <c r="B158" s="73" t="s">
        <v>179</v>
      </c>
      <c r="C158" s="136" t="s">
        <v>189</v>
      </c>
      <c r="D158" s="115" t="s">
        <v>590</v>
      </c>
      <c r="E158" s="115" t="s">
        <v>591</v>
      </c>
    </row>
    <row r="159" spans="2:5" ht="45" customHeight="1">
      <c r="B159" s="187" t="s">
        <v>600</v>
      </c>
      <c r="C159" s="189">
        <v>0.5</v>
      </c>
      <c r="D159" s="193" t="s">
        <v>594</v>
      </c>
      <c r="E159" s="193" t="s">
        <v>822</v>
      </c>
    </row>
    <row r="160" spans="2:5">
      <c r="B160" s="188"/>
      <c r="C160" s="190"/>
      <c r="D160" s="194"/>
      <c r="E160" s="194"/>
    </row>
    <row r="161" spans="2:6">
      <c r="B161" s="34" t="s">
        <v>595</v>
      </c>
      <c r="C161" s="133">
        <v>0</v>
      </c>
      <c r="D161" s="37" t="s">
        <v>803</v>
      </c>
      <c r="E161" s="137" t="s">
        <v>593</v>
      </c>
    </row>
    <row r="162" spans="2:6" ht="80.25" customHeight="1">
      <c r="B162" s="138" t="s">
        <v>596</v>
      </c>
      <c r="C162" s="133" t="s">
        <v>681</v>
      </c>
      <c r="D162" s="34" t="s">
        <v>682</v>
      </c>
      <c r="E162" s="36" t="s">
        <v>823</v>
      </c>
    </row>
    <row r="163" spans="2:6">
      <c r="B163" s="34" t="s">
        <v>597</v>
      </c>
      <c r="C163" s="133">
        <v>1</v>
      </c>
      <c r="D163" s="37" t="s">
        <v>807</v>
      </c>
      <c r="E163" s="137" t="s">
        <v>592</v>
      </c>
    </row>
    <row r="164" spans="2:6" ht="197.25" customHeight="1">
      <c r="B164" s="138" t="s">
        <v>598</v>
      </c>
      <c r="C164" s="135" t="s">
        <v>744</v>
      </c>
      <c r="D164" s="154" t="s">
        <v>759</v>
      </c>
      <c r="E164" s="36" t="s">
        <v>824</v>
      </c>
    </row>
    <row r="165" spans="2:6" ht="208.5" customHeight="1">
      <c r="B165" s="34" t="s">
        <v>599</v>
      </c>
      <c r="C165" s="135" t="s">
        <v>833</v>
      </c>
      <c r="D165" s="36" t="s">
        <v>826</v>
      </c>
      <c r="E165" s="36" t="s">
        <v>825</v>
      </c>
      <c r="F165" s="139"/>
    </row>
    <row r="166" spans="2:6" ht="15.75" thickBot="1"/>
    <row r="167" spans="2:6" ht="15.75" thickBot="1">
      <c r="B167" s="178" t="s">
        <v>213</v>
      </c>
      <c r="C167" s="179"/>
      <c r="D167" s="179"/>
      <c r="E167" s="180"/>
    </row>
    <row r="168" spans="2:6" ht="15.75" thickBot="1"/>
    <row r="169" spans="2:6" ht="15.75" thickBot="1">
      <c r="B169" s="178" t="s">
        <v>588</v>
      </c>
      <c r="C169" s="179"/>
      <c r="D169" s="179"/>
      <c r="E169" s="179"/>
      <c r="F169" s="180"/>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7" t="s">
        <v>168</v>
      </c>
      <c r="C176" s="150">
        <v>84.6</v>
      </c>
      <c r="D176" s="149">
        <f>2.66+20.6+0.562</f>
        <v>23.822000000000003</v>
      </c>
      <c r="E176" s="150">
        <v>414</v>
      </c>
      <c r="F176" s="150">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75" thickBot="1"/>
    <row r="184" spans="2:6" ht="15.75" thickBot="1">
      <c r="B184" s="181" t="s">
        <v>589</v>
      </c>
      <c r="C184" s="182"/>
      <c r="D184" s="182"/>
      <c r="E184" s="183"/>
    </row>
    <row r="185" spans="2:6">
      <c r="B185" s="73" t="s">
        <v>179</v>
      </c>
      <c r="C185" s="136" t="s">
        <v>189</v>
      </c>
      <c r="D185" s="115" t="s">
        <v>590</v>
      </c>
      <c r="E185" s="115" t="s">
        <v>591</v>
      </c>
    </row>
    <row r="186" spans="2:6">
      <c r="B186" s="187" t="s">
        <v>600</v>
      </c>
      <c r="C186" s="189" t="s">
        <v>293</v>
      </c>
      <c r="D186" s="193" t="s">
        <v>848</v>
      </c>
      <c r="E186" s="193" t="s">
        <v>847</v>
      </c>
    </row>
    <row r="187" spans="2:6">
      <c r="B187" s="188"/>
      <c r="C187" s="190"/>
      <c r="D187" s="194"/>
      <c r="E187" s="194"/>
    </row>
    <row r="188" spans="2:6" ht="60">
      <c r="B188" s="34" t="s">
        <v>595</v>
      </c>
      <c r="C188" s="133">
        <v>0.6</v>
      </c>
      <c r="D188" s="36" t="s">
        <v>849</v>
      </c>
      <c r="E188" s="36" t="s">
        <v>606</v>
      </c>
    </row>
    <row r="189" spans="2:6" ht="273.75" customHeight="1">
      <c r="B189" s="138" t="s">
        <v>596</v>
      </c>
      <c r="C189" s="133" t="s">
        <v>748</v>
      </c>
      <c r="D189" s="34" t="s">
        <v>852</v>
      </c>
      <c r="E189" s="36" t="s">
        <v>851</v>
      </c>
    </row>
    <row r="190" spans="2:6">
      <c r="B190" s="34" t="s">
        <v>597</v>
      </c>
      <c r="C190" s="133">
        <v>1</v>
      </c>
      <c r="D190" s="1" t="s">
        <v>850</v>
      </c>
      <c r="E190" s="1" t="s">
        <v>592</v>
      </c>
    </row>
    <row r="191" spans="2:6" ht="69.75" customHeight="1">
      <c r="B191" s="81" t="s">
        <v>598</v>
      </c>
      <c r="C191" s="133" t="s">
        <v>744</v>
      </c>
      <c r="D191" s="36" t="s">
        <v>854</v>
      </c>
      <c r="E191" s="45" t="s">
        <v>853</v>
      </c>
    </row>
    <row r="192" spans="2:6" ht="72" customHeight="1">
      <c r="B192" s="34" t="s">
        <v>599</v>
      </c>
      <c r="C192" s="133" t="s">
        <v>846</v>
      </c>
      <c r="D192" s="36" t="s">
        <v>856</v>
      </c>
      <c r="E192" s="36" t="s">
        <v>855</v>
      </c>
    </row>
  </sheetData>
  <mergeCells count="42">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K41"/>
  <sheetViews>
    <sheetView tabSelected="1" topLeftCell="B1" zoomScale="78" zoomScaleNormal="115" workbookViewId="0">
      <selection activeCell="O15" sqref="O15"/>
    </sheetView>
  </sheetViews>
  <sheetFormatPr baseColWidth="10" defaultColWidth="9.140625" defaultRowHeight="15"/>
  <cols>
    <col min="1" max="1" width="34.85546875" customWidth="1"/>
    <col min="2" max="2" width="24.7109375" customWidth="1"/>
    <col min="3" max="3" width="20.85546875" customWidth="1"/>
    <col min="4" max="4" width="19.140625" customWidth="1"/>
    <col min="5" max="5" width="21" customWidth="1"/>
    <col min="6" max="6" width="22.140625" customWidth="1"/>
    <col min="7" max="7" width="26.5703125" customWidth="1"/>
    <col min="8" max="8" width="18.42578125" customWidth="1"/>
    <col min="9" max="9" width="20.28515625" customWidth="1"/>
    <col min="10" max="10" width="28" customWidth="1"/>
    <col min="11" max="11" width="25.140625" customWidth="1"/>
  </cols>
  <sheetData>
    <row r="1" spans="1:11">
      <c r="A1" t="s">
        <v>739</v>
      </c>
      <c r="B1" t="s">
        <v>79</v>
      </c>
      <c r="C1" t="s">
        <v>672</v>
      </c>
      <c r="D1" t="s">
        <v>673</v>
      </c>
      <c r="E1" t="s">
        <v>674</v>
      </c>
      <c r="F1" t="s">
        <v>675</v>
      </c>
      <c r="G1" t="s">
        <v>676</v>
      </c>
      <c r="H1" s="160" t="s">
        <v>670</v>
      </c>
      <c r="I1" s="160" t="s">
        <v>671</v>
      </c>
      <c r="J1" s="161" t="s">
        <v>698</v>
      </c>
      <c r="K1" s="161" t="s">
        <v>697</v>
      </c>
    </row>
    <row r="2" spans="1:11">
      <c r="A2" s="196" t="s">
        <v>168</v>
      </c>
      <c r="B2" t="s">
        <v>699</v>
      </c>
      <c r="C2">
        <v>0</v>
      </c>
      <c r="D2">
        <v>0</v>
      </c>
      <c r="E2">
        <v>0</v>
      </c>
      <c r="F2">
        <v>0</v>
      </c>
      <c r="G2" s="153">
        <f>'CFF Clean Data'!F98</f>
        <v>0.186</v>
      </c>
      <c r="H2">
        <v>0</v>
      </c>
      <c r="I2" s="153">
        <f>'CFF Clean Data'!D176</f>
        <v>23.822000000000003</v>
      </c>
      <c r="J2">
        <f t="shared" ref="J2:J8" si="0">(0.95*C2)+(0.05*D2)</f>
        <v>0</v>
      </c>
      <c r="K2" s="153">
        <f>(0.54*E2)+(0.045*F2)+(0.415*G2)</f>
        <v>7.7189999999999995E-2</v>
      </c>
    </row>
    <row r="3" spans="1:11">
      <c r="A3" s="196"/>
      <c r="B3" t="s">
        <v>700</v>
      </c>
      <c r="C3">
        <f>'CFF Clean Data'!C13</f>
        <v>1.331</v>
      </c>
      <c r="D3">
        <f>'CFF Clean Data'!C28</f>
        <v>0.42699999999999999</v>
      </c>
      <c r="E3" s="153">
        <f>'CFF Clean Data'!D68</f>
        <v>0.72699999999999998</v>
      </c>
      <c r="F3" s="153">
        <f>'CFF Clean Data'!D83</f>
        <v>0.40467270881237499</v>
      </c>
      <c r="G3" s="153">
        <f>'CFF Clean Data'!D98</f>
        <v>0.369760652920962</v>
      </c>
      <c r="H3" s="153">
        <f>'CFF Clean Data'!C149</f>
        <v>7.63</v>
      </c>
      <c r="I3" s="153">
        <f>'CFF Clean Data'!C176</f>
        <v>84.6</v>
      </c>
      <c r="J3">
        <f t="shared" si="0"/>
        <v>1.2857999999999998</v>
      </c>
      <c r="K3" s="153">
        <f>(0.54*E3)+(0.045*F3)+(0.415*G3)</f>
        <v>0.56424094285875614</v>
      </c>
    </row>
    <row r="4" spans="1:11">
      <c r="A4" s="196"/>
      <c r="B4" t="s">
        <v>701</v>
      </c>
      <c r="C4" s="153">
        <f>'CFF Clean Data'!D13</f>
        <v>1.1809999999999999E-2</v>
      </c>
      <c r="D4" s="153">
        <f>'CFF Clean Data'!D28</f>
        <v>5.6899999999999995E-4</v>
      </c>
      <c r="E4" s="153">
        <f>'CFF Clean Data'!E68</f>
        <v>6.4535213032581498E-3</v>
      </c>
      <c r="F4" s="153">
        <f>'CFF Clean Data'!E83</f>
        <v>5.3881952326901195E-4</v>
      </c>
      <c r="G4" s="153">
        <f>'CFF Clean Data'!E98</f>
        <v>7.4501280068728498E-3</v>
      </c>
      <c r="H4" s="153">
        <f>'CFF Clean Data'!D149</f>
        <v>10.199999999999999</v>
      </c>
      <c r="I4" s="153">
        <f>'CFF Clean Data'!F176</f>
        <v>0.81499999999999995</v>
      </c>
      <c r="J4" s="153">
        <f t="shared" si="0"/>
        <v>1.1247949999999998E-2</v>
      </c>
      <c r="K4" s="153">
        <f>(0.54*E4)+(0.045*F4)+(0.415*G4)</f>
        <v>6.6009515051587394E-3</v>
      </c>
    </row>
    <row r="5" spans="1:11">
      <c r="A5" s="196"/>
      <c r="B5" t="s">
        <v>702</v>
      </c>
      <c r="C5" s="153">
        <f>'CFF Clean Data'!E13</f>
        <v>62.7</v>
      </c>
      <c r="D5" s="153">
        <f>'CFF Clean Data'!E28</f>
        <v>0.81599999999999995</v>
      </c>
      <c r="E5" s="153">
        <f>'CFF Clean Data'!C68</f>
        <v>37.14</v>
      </c>
      <c r="F5" s="153">
        <f>'CFF Clean Data'!C83</f>
        <v>0.77300000000000002</v>
      </c>
      <c r="G5" s="153">
        <f>'CFF Clean Data'!C98</f>
        <v>3.83</v>
      </c>
      <c r="H5" s="153">
        <f>'CFF Clean Data'!E149</f>
        <v>156</v>
      </c>
      <c r="I5" s="153">
        <f>'CFF Clean Data'!E176</f>
        <v>414</v>
      </c>
      <c r="J5" s="153">
        <f t="shared" si="0"/>
        <v>59.605799999999995</v>
      </c>
      <c r="K5" s="153">
        <f>(0.54*E5)+(0.045*F5)+(0.415*G5)</f>
        <v>21.679835000000001</v>
      </c>
    </row>
    <row r="6" spans="1:11">
      <c r="A6" s="196"/>
      <c r="B6" t="s">
        <v>703</v>
      </c>
      <c r="C6" s="153">
        <f>'CFF Clean Data'!E13</f>
        <v>62.7</v>
      </c>
      <c r="D6" s="153">
        <f>'CFF Clean Data'!E28</f>
        <v>0.81599999999999995</v>
      </c>
      <c r="E6" s="153">
        <f>'CFF Clean Data'!C68</f>
        <v>37.14</v>
      </c>
      <c r="F6" s="153">
        <f>'CFF Clean Data'!C83</f>
        <v>0.77300000000000002</v>
      </c>
      <c r="G6" s="153">
        <f>'CFF Clean Data'!C98</f>
        <v>3.83</v>
      </c>
      <c r="H6" s="153">
        <f>'CFF Clean Data'!E149</f>
        <v>156</v>
      </c>
      <c r="I6" s="153">
        <f>'CFF Clean Data'!E176</f>
        <v>414</v>
      </c>
      <c r="J6" s="153">
        <f t="shared" si="0"/>
        <v>59.605799999999995</v>
      </c>
      <c r="K6" s="153">
        <f>(0.54*E6)+(0.045*F6)+(0.415*G6)</f>
        <v>21.679835000000001</v>
      </c>
    </row>
    <row r="7" spans="1:11">
      <c r="A7" s="196" t="s">
        <v>163</v>
      </c>
      <c r="B7" t="s">
        <v>705</v>
      </c>
      <c r="C7">
        <v>0</v>
      </c>
      <c r="D7">
        <v>0</v>
      </c>
      <c r="E7">
        <v>0</v>
      </c>
      <c r="F7">
        <v>0</v>
      </c>
      <c r="G7" s="153">
        <f>'CFF Clean Data'!F93</f>
        <v>1.8E-7</v>
      </c>
      <c r="H7">
        <v>0</v>
      </c>
      <c r="I7" s="153">
        <f>'CFF Clean Data'!D171</f>
        <v>1.4869999999999999E-6</v>
      </c>
      <c r="J7" s="153">
        <f t="shared" si="0"/>
        <v>0</v>
      </c>
      <c r="K7" s="153">
        <f t="shared" ref="K7:K41" si="1">(0.54*E7)+(0.045*F7)+(0.415*G7)</f>
        <v>7.4700000000000001E-8</v>
      </c>
    </row>
    <row r="8" spans="1:11">
      <c r="A8" s="196"/>
      <c r="B8" t="s">
        <v>704</v>
      </c>
      <c r="C8">
        <f>'CFF Clean Data'!C8</f>
        <v>4.6599999999999994E-6</v>
      </c>
      <c r="D8">
        <f>'CFF Clean Data'!C23</f>
        <v>3.2300000000000002E-7</v>
      </c>
      <c r="E8" s="153">
        <f>'CFF Clean Data'!D63</f>
        <v>2.5474999999999997E-6</v>
      </c>
      <c r="F8" s="153">
        <f>'CFF Clean Data'!D78</f>
        <v>3.0667124555797766E-7</v>
      </c>
      <c r="G8" s="153">
        <f>'CFF Clean Data'!D93</f>
        <v>2.8738823024054981E-7</v>
      </c>
      <c r="H8" s="153">
        <f>'CFF Clean Data'!C144</f>
        <v>9.2199999999999998E-6</v>
      </c>
      <c r="I8">
        <f>'CFF Clean Data'!C171</f>
        <v>7.2999999999999999E-5</v>
      </c>
      <c r="J8" s="153">
        <f t="shared" si="0"/>
        <v>4.4431499999999991E-6</v>
      </c>
      <c r="K8" s="153">
        <f t="shared" si="1"/>
        <v>1.5087163215999372E-6</v>
      </c>
    </row>
    <row r="9" spans="1:11">
      <c r="A9" s="196"/>
      <c r="B9" t="s">
        <v>718</v>
      </c>
      <c r="C9" s="153">
        <f>'CFF Clean Data'!D8</f>
        <v>2.2580000000000003E-9</v>
      </c>
      <c r="D9" s="153">
        <f>'CFF Clean Data'!D23</f>
        <v>1.09E-10</v>
      </c>
      <c r="E9" s="153">
        <f>'CFF Clean Data'!E63</f>
        <v>1.2376152882205513E-9</v>
      </c>
      <c r="F9" s="153">
        <f>'CFF Clean Data'!E78</f>
        <v>1.0336265607264472E-10</v>
      </c>
      <c r="G9" s="153">
        <f>'CFF Clean Data'!E93</f>
        <v>1.4460936426116838E-9</v>
      </c>
      <c r="H9" s="153">
        <f>'CFF Clean Data'!D144</f>
        <v>3.8800000000000001E-6</v>
      </c>
      <c r="I9" s="153">
        <f>'CFF Clean Data'!F171</f>
        <v>3.0899999999999997E-7</v>
      </c>
      <c r="J9" s="153">
        <f t="shared" ref="J9:J41" si="2">(0.95*C9)+(0.05*D9)</f>
        <v>2.1505499999999998E-9</v>
      </c>
      <c r="K9" s="153">
        <f t="shared" si="1"/>
        <v>1.2730924368462154E-9</v>
      </c>
    </row>
    <row r="10" spans="1:11">
      <c r="A10" s="196"/>
      <c r="B10" t="s">
        <v>706</v>
      </c>
      <c r="C10" s="153">
        <f>'CFF Clean Data'!E8</f>
        <v>1.7729999999999998E-5</v>
      </c>
      <c r="D10" s="153">
        <f>'CFF Clean Data'!E23</f>
        <v>1.1700000000000001E-8</v>
      </c>
      <c r="E10" s="153">
        <f>'CFF Clean Data'!C63</f>
        <v>1.0499999999999999E-5</v>
      </c>
      <c r="F10" s="153">
        <f>'CFF Clean Data'!C78</f>
        <v>1.11E-8</v>
      </c>
      <c r="G10" s="153">
        <f>'CFF Clean Data'!C93</f>
        <v>1.1346699999999999E-4</v>
      </c>
      <c r="H10" s="153">
        <f>'CFF Clean Data'!E144</f>
        <v>4.4900000000000002E-4</v>
      </c>
      <c r="I10" s="153">
        <f>'CFF Clean Data'!E171</f>
        <v>5.71E-4</v>
      </c>
      <c r="J10" s="153">
        <f t="shared" si="2"/>
        <v>1.6844084999999999E-5</v>
      </c>
      <c r="K10" s="153">
        <f t="shared" si="1"/>
        <v>5.2759304499999997E-5</v>
      </c>
    </row>
    <row r="11" spans="1:11">
      <c r="A11" s="196"/>
      <c r="B11" t="s">
        <v>707</v>
      </c>
      <c r="C11" s="153">
        <f>'CFF Clean Data'!E8</f>
        <v>1.7729999999999998E-5</v>
      </c>
      <c r="D11" s="153">
        <f>'CFF Clean Data'!E23</f>
        <v>1.1700000000000001E-8</v>
      </c>
      <c r="E11" s="153">
        <f>'CFF Clean Data'!C63</f>
        <v>1.0499999999999999E-5</v>
      </c>
      <c r="F11" s="153">
        <f>'CFF Clean Data'!C78</f>
        <v>1.11E-8</v>
      </c>
      <c r="G11" s="153">
        <f>'CFF Clean Data'!C93</f>
        <v>1.1346699999999999E-4</v>
      </c>
      <c r="H11" s="153">
        <f>'CFF Clean Data'!E144</f>
        <v>4.4900000000000002E-4</v>
      </c>
      <c r="I11" s="153">
        <f>'CFF Clean Data'!E171</f>
        <v>5.71E-4</v>
      </c>
      <c r="J11" s="153">
        <f t="shared" si="2"/>
        <v>1.6844084999999999E-5</v>
      </c>
      <c r="K11" s="153">
        <f t="shared" si="1"/>
        <v>5.2759304499999997E-5</v>
      </c>
    </row>
    <row r="12" spans="1:11">
      <c r="A12" s="196" t="s">
        <v>164</v>
      </c>
      <c r="B12" t="s">
        <v>708</v>
      </c>
      <c r="C12">
        <v>0</v>
      </c>
      <c r="D12">
        <v>0</v>
      </c>
      <c r="E12">
        <v>0</v>
      </c>
      <c r="F12">
        <v>0</v>
      </c>
      <c r="G12" s="153">
        <f>'CFF Clean Data'!F94</f>
        <v>1.88</v>
      </c>
      <c r="H12">
        <v>0</v>
      </c>
      <c r="I12" s="153">
        <f>'CFF Clean Data'!D172</f>
        <v>34.929999999999993</v>
      </c>
      <c r="J12" s="153">
        <f t="shared" si="2"/>
        <v>0</v>
      </c>
      <c r="K12" s="153">
        <f t="shared" si="1"/>
        <v>0.78019999999999989</v>
      </c>
    </row>
    <row r="13" spans="1:11">
      <c r="A13" s="196"/>
      <c r="B13" t="s">
        <v>709</v>
      </c>
      <c r="C13">
        <f>'CFF Clean Data'!C9</f>
        <v>13.58</v>
      </c>
      <c r="D13">
        <f>'CFF Clean Data'!C24</f>
        <v>4.24</v>
      </c>
      <c r="E13" s="153">
        <f>'CFF Clean Data'!D64</f>
        <v>7.4266666666666659</v>
      </c>
      <c r="F13" s="153">
        <f>'CFF Clean Data'!D79</f>
        <v>4.0200600232926211</v>
      </c>
      <c r="G13" s="153">
        <f>'CFF Clean Data'!D94</f>
        <v>3.7250640034364264</v>
      </c>
      <c r="H13" s="153">
        <f>'CFF Clean Data'!C145</f>
        <v>1030</v>
      </c>
      <c r="I13">
        <f>'CFF Clean Data'!C172</f>
        <v>8470</v>
      </c>
      <c r="J13" s="153">
        <f t="shared" si="2"/>
        <v>13.113</v>
      </c>
      <c r="K13" s="153">
        <f t="shared" si="1"/>
        <v>5.7372042624742843</v>
      </c>
    </row>
    <row r="14" spans="1:11">
      <c r="A14" s="196"/>
      <c r="B14" t="s">
        <v>717</v>
      </c>
      <c r="C14" s="153">
        <f>'CFF Clean Data'!D9</f>
        <v>0.1709</v>
      </c>
      <c r="D14" s="153">
        <f>'CFF Clean Data'!D24</f>
        <v>8.2400000000000008E-3</v>
      </c>
      <c r="E14" s="153">
        <f>'CFF Clean Data'!E64</f>
        <v>9.346012531328321E-2</v>
      </c>
      <c r="F14" s="153">
        <f>'CFF Clean Data'!E79</f>
        <v>7.8022133938706016E-3</v>
      </c>
      <c r="G14" s="153">
        <f>'CFF Clean Data'!E94</f>
        <v>0.10799939862542955</v>
      </c>
      <c r="H14" s="153">
        <f>'CFF Clean Data'!D145</f>
        <v>137</v>
      </c>
      <c r="I14" s="153">
        <f>'CFF Clean Data'!F172</f>
        <v>10.9</v>
      </c>
      <c r="J14" s="153">
        <f t="shared" si="2"/>
        <v>0.162767</v>
      </c>
      <c r="K14" s="153">
        <f t="shared" si="1"/>
        <v>9.5639317701450371E-2</v>
      </c>
    </row>
    <row r="15" spans="1:11">
      <c r="A15" s="196"/>
      <c r="B15" t="s">
        <v>710</v>
      </c>
      <c r="C15" s="153">
        <f>'CFF Clean Data'!E9</f>
        <v>684</v>
      </c>
      <c r="D15" s="153">
        <f>'CFF Clean Data'!E24</f>
        <v>7.3</v>
      </c>
      <c r="E15" s="153">
        <f>'CFF Clean Data'!C64</f>
        <v>405</v>
      </c>
      <c r="F15" s="153">
        <f>'CFF Clean Data'!C79</f>
        <v>6.91</v>
      </c>
      <c r="G15" s="153">
        <f>'CFF Clean Data'!C94</f>
        <v>98.300000000000011</v>
      </c>
      <c r="H15" s="153">
        <f>'CFF Clean Data'!E145</f>
        <v>1140</v>
      </c>
      <c r="I15" s="153">
        <f>'CFF Clean Data'!E172</f>
        <v>3970</v>
      </c>
      <c r="J15" s="153">
        <f t="shared" si="2"/>
        <v>650.16499999999996</v>
      </c>
      <c r="K15" s="153">
        <f t="shared" si="1"/>
        <v>259.80545000000001</v>
      </c>
    </row>
    <row r="16" spans="1:11">
      <c r="A16" s="196"/>
      <c r="B16" t="s">
        <v>711</v>
      </c>
      <c r="C16" s="153">
        <f>'CFF Clean Data'!E9</f>
        <v>684</v>
      </c>
      <c r="D16" s="153">
        <f>'CFF Clean Data'!E24</f>
        <v>7.3</v>
      </c>
      <c r="E16" s="153">
        <f>'CFF Clean Data'!C64</f>
        <v>405</v>
      </c>
      <c r="F16" s="153">
        <f>'CFF Clean Data'!C79</f>
        <v>6.91</v>
      </c>
      <c r="G16" s="153">
        <f>'CFF Clean Data'!C94</f>
        <v>98.300000000000011</v>
      </c>
      <c r="H16" s="153">
        <f>'CFF Clean Data'!E145</f>
        <v>1140</v>
      </c>
      <c r="I16" s="153">
        <f>'CFF Clean Data'!E172</f>
        <v>3970</v>
      </c>
      <c r="J16" s="153">
        <f t="shared" si="2"/>
        <v>650.16499999999996</v>
      </c>
      <c r="K16" s="153">
        <f t="shared" si="1"/>
        <v>259.80545000000001</v>
      </c>
    </row>
    <row r="17" spans="1:11" ht="13.5" customHeight="1">
      <c r="A17" s="196" t="s">
        <v>165</v>
      </c>
      <c r="B17" t="s">
        <v>712</v>
      </c>
      <c r="C17">
        <v>0</v>
      </c>
      <c r="D17">
        <v>0</v>
      </c>
      <c r="E17">
        <v>0</v>
      </c>
      <c r="F17">
        <v>0</v>
      </c>
      <c r="G17" s="153">
        <f>'CFF Clean Data'!F95</f>
        <v>2.7399999999999999E-4</v>
      </c>
      <c r="H17" s="153">
        <v>0</v>
      </c>
      <c r="I17" s="153">
        <f>'CFF Clean Data'!D173</f>
        <v>4.2490000000000002E-3</v>
      </c>
      <c r="J17" s="153">
        <f t="shared" si="2"/>
        <v>0</v>
      </c>
      <c r="K17" s="153">
        <f t="shared" si="1"/>
        <v>1.1370999999999999E-4</v>
      </c>
    </row>
    <row r="18" spans="1:11">
      <c r="A18" s="196"/>
      <c r="B18" t="s">
        <v>713</v>
      </c>
      <c r="C18">
        <f>'CFF Clean Data'!C10</f>
        <v>2.0109999999999998E-3</v>
      </c>
      <c r="D18">
        <f>'CFF Clean Data'!C25</f>
        <v>6.11E-4</v>
      </c>
      <c r="E18" s="153">
        <f>'CFF Clean Data'!D65</f>
        <v>1.0983333333333333E-3</v>
      </c>
      <c r="F18" s="153">
        <f>'CFF Clean Data'!D80</f>
        <v>5.7934198345626655E-4</v>
      </c>
      <c r="G18" s="153">
        <f>'CFF Clean Data'!D95</f>
        <v>5.4182749140893464E-4</v>
      </c>
      <c r="H18" s="153">
        <f>'CFF Clean Data'!C146</f>
        <v>3.6299999999999999E-2</v>
      </c>
      <c r="I18">
        <f>'CFF Clean Data'!C173</f>
        <v>0.28899999999999998</v>
      </c>
      <c r="J18" s="153">
        <f t="shared" si="2"/>
        <v>1.9409999999999998E-3</v>
      </c>
      <c r="K18" s="153">
        <f t="shared" si="1"/>
        <v>8.4402879819023995E-4</v>
      </c>
    </row>
    <row r="19" spans="1:11">
      <c r="A19" s="196"/>
      <c r="B19" t="s">
        <v>714</v>
      </c>
      <c r="C19" s="153">
        <f>'CFF Clean Data'!D10</f>
        <v>3.1900000000000003E-5</v>
      </c>
      <c r="D19" s="153">
        <f>'CFF Clean Data'!D25</f>
        <v>1.5400000000000001E-6</v>
      </c>
      <c r="E19" s="153">
        <f>'CFF Clean Data'!E65</f>
        <v>1.7452694235588974E-5</v>
      </c>
      <c r="F19" s="153">
        <f>'CFF Clean Data'!E80</f>
        <v>1.4537457434733258E-6</v>
      </c>
      <c r="G19" s="153">
        <f>'CFF Clean Data'!E95</f>
        <v>1.9128707044673542E-5</v>
      </c>
      <c r="H19" s="153">
        <f>'CFF Clean Data'!D146</f>
        <v>6.1199999999999997E-2</v>
      </c>
      <c r="I19" s="153">
        <f>'CFF Clean Data'!F173</f>
        <v>4.8700000000000002E-3</v>
      </c>
      <c r="J19" s="153">
        <f t="shared" si="2"/>
        <v>3.0382000000000002E-5</v>
      </c>
      <c r="K19" s="153">
        <f t="shared" si="1"/>
        <v>1.7428286869213866E-5</v>
      </c>
    </row>
    <row r="20" spans="1:11">
      <c r="A20" s="196"/>
      <c r="B20" t="s">
        <v>715</v>
      </c>
      <c r="C20" s="153">
        <f>'CFF Clean Data'!E10</f>
        <v>0.1956</v>
      </c>
      <c r="D20" s="153">
        <f>'CFF Clean Data'!E25</f>
        <v>1.74E-3</v>
      </c>
      <c r="E20" s="153">
        <f>'CFF Clean Data'!C65</f>
        <v>0.11600000000000001</v>
      </c>
      <c r="F20" s="153">
        <f>'CFF Clean Data'!C80</f>
        <v>1.65E-3</v>
      </c>
      <c r="G20" s="153">
        <f>'CFF Clean Data'!C95</f>
        <v>1.6309999999999998E-2</v>
      </c>
      <c r="H20" s="153">
        <f>'CFF Clean Data'!E146</f>
        <v>0.108</v>
      </c>
      <c r="I20" s="153">
        <f>'CFF Clean Data'!E173</f>
        <v>0.441</v>
      </c>
      <c r="J20" s="153">
        <f t="shared" si="2"/>
        <v>0.18590699999999999</v>
      </c>
      <c r="K20" s="153">
        <f t="shared" si="1"/>
        <v>6.94829E-2</v>
      </c>
    </row>
    <row r="21" spans="1:11">
      <c r="A21" s="196"/>
      <c r="B21" t="s">
        <v>716</v>
      </c>
      <c r="C21" s="153">
        <f>'CFF Clean Data'!E10</f>
        <v>0.1956</v>
      </c>
      <c r="D21" s="153">
        <f>'CFF Clean Data'!E25</f>
        <v>1.74E-3</v>
      </c>
      <c r="E21" s="153">
        <f>'CFF Clean Data'!C65</f>
        <v>0.11600000000000001</v>
      </c>
      <c r="F21" s="153">
        <f>'CFF Clean Data'!C80</f>
        <v>1.65E-3</v>
      </c>
      <c r="G21" s="153">
        <f>'CFF Clean Data'!C95</f>
        <v>1.6309999999999998E-2</v>
      </c>
      <c r="H21" s="153">
        <f>'CFF Clean Data'!E146</f>
        <v>0.108</v>
      </c>
      <c r="I21" s="153">
        <f>'CFF Clean Data'!E173</f>
        <v>0.441</v>
      </c>
      <c r="J21" s="153">
        <f t="shared" si="2"/>
        <v>0.18590699999999999</v>
      </c>
      <c r="K21" s="153">
        <f t="shared" si="1"/>
        <v>6.94829E-2</v>
      </c>
    </row>
    <row r="22" spans="1:11">
      <c r="A22" s="196" t="s">
        <v>166</v>
      </c>
      <c r="B22" t="s">
        <v>719</v>
      </c>
      <c r="C22">
        <v>0</v>
      </c>
      <c r="D22">
        <v>0</v>
      </c>
      <c r="E22">
        <v>0</v>
      </c>
      <c r="F22">
        <v>0</v>
      </c>
      <c r="G22" s="153">
        <f>'CFF Clean Data'!F96</f>
        <v>5.3699999999999997E-5</v>
      </c>
      <c r="H22">
        <v>0</v>
      </c>
      <c r="I22" s="153">
        <f>'CFF Clean Data'!D174</f>
        <v>2.1770000000000001E-3</v>
      </c>
      <c r="J22" s="153">
        <f t="shared" si="2"/>
        <v>0</v>
      </c>
      <c r="K22" s="153">
        <f t="shared" si="1"/>
        <v>2.2285499999999999E-5</v>
      </c>
    </row>
    <row r="23" spans="1:11">
      <c r="A23" s="196"/>
      <c r="B23" t="s">
        <v>720</v>
      </c>
      <c r="C23">
        <f>'CFF Clean Data'!C11</f>
        <v>4.1200000000000004E-4</v>
      </c>
      <c r="D23">
        <f>'CFF Clean Data'!C26</f>
        <v>1.17E-4</v>
      </c>
      <c r="E23" s="153">
        <f>'CFF Clean Data'!D66</f>
        <v>2.253333333333333E-4</v>
      </c>
      <c r="F23" s="153">
        <f>'CFF Clean Data'!D81</f>
        <v>1.1066831904918326E-4</v>
      </c>
      <c r="G23" s="153">
        <f>'CFF Clean Data'!D96</f>
        <v>1.0342315292096219E-4</v>
      </c>
      <c r="H23" s="153">
        <f>'CFF Clean Data'!C147</f>
        <v>6.2300000000000003E-3</v>
      </c>
      <c r="I23" s="153">
        <f>'CFF Clean Data'!C174</f>
        <v>4.9399999999999999E-2</v>
      </c>
      <c r="J23" s="153">
        <f t="shared" si="2"/>
        <v>3.9725000000000003E-4</v>
      </c>
      <c r="K23" s="153">
        <f t="shared" si="1"/>
        <v>1.6958068281941254E-4</v>
      </c>
    </row>
    <row r="24" spans="1:11">
      <c r="A24" s="196"/>
      <c r="B24" t="s">
        <v>721</v>
      </c>
      <c r="C24" s="153">
        <f>'CFF Clean Data'!D11</f>
        <v>3.4300000000000002E-6</v>
      </c>
      <c r="D24" s="153">
        <f>'CFF Clean Data'!D26</f>
        <v>1.6500000000000001E-7</v>
      </c>
      <c r="E24" s="153">
        <f>'CFF Clean Data'!E66</f>
        <v>1.8730162907268171E-6</v>
      </c>
      <c r="F24" s="153">
        <f>'CFF Clean Data'!E81</f>
        <v>1.5604426787741203E-7</v>
      </c>
      <c r="G24" s="153">
        <f>'CFF Clean Data'!E96</f>
        <v>2.1142255154639176E-5</v>
      </c>
      <c r="H24" s="153">
        <f>'CFF Clean Data'!D147</f>
        <v>6.8500000000000002E-3</v>
      </c>
      <c r="I24" s="153">
        <f>'CFF Clean Data'!F174</f>
        <v>5.4600000000000004E-4</v>
      </c>
      <c r="J24" s="153">
        <f t="shared" si="2"/>
        <v>3.2667500000000001E-6</v>
      </c>
      <c r="K24" s="153">
        <f t="shared" si="1"/>
        <v>9.7924866782222216E-6</v>
      </c>
    </row>
    <row r="25" spans="1:11">
      <c r="A25" s="196"/>
      <c r="B25" t="s">
        <v>722</v>
      </c>
      <c r="C25" s="153">
        <f>'CFF Clean Data'!E11</f>
        <v>1.489E-2</v>
      </c>
      <c r="D25" s="153">
        <f>'CFF Clean Data'!E26</f>
        <v>1.73E-4</v>
      </c>
      <c r="E25" s="153">
        <f>'CFF Clean Data'!C66</f>
        <v>8.8100000000000001E-3</v>
      </c>
      <c r="F25" s="153">
        <f>'CFF Clean Data'!C81</f>
        <v>1.64E-4</v>
      </c>
      <c r="G25" s="153">
        <f>'CFF Clean Data'!C96</f>
        <v>1.0809999999999999E-3</v>
      </c>
      <c r="H25" s="153">
        <f>'CFF Clean Data'!E147</f>
        <v>1.8100000000000002E-2</v>
      </c>
      <c r="I25" s="153">
        <f>'CFF Clean Data'!E174</f>
        <v>8.6300000000000002E-2</v>
      </c>
      <c r="J25" s="153">
        <f t="shared" si="2"/>
        <v>1.4154150000000001E-2</v>
      </c>
      <c r="K25" s="153">
        <f t="shared" si="1"/>
        <v>5.2133950000000009E-3</v>
      </c>
    </row>
    <row r="26" spans="1:11">
      <c r="A26" s="196"/>
      <c r="B26" t="s">
        <v>723</v>
      </c>
      <c r="C26" s="153">
        <f>'CFF Clean Data'!E11</f>
        <v>1.489E-2</v>
      </c>
      <c r="D26" s="153">
        <f>'CFF Clean Data'!E26</f>
        <v>1.73E-4</v>
      </c>
      <c r="E26" s="153">
        <f>'CFF Clean Data'!C66</f>
        <v>8.8100000000000001E-3</v>
      </c>
      <c r="F26" s="153">
        <f>'CFF Clean Data'!C81</f>
        <v>1.64E-4</v>
      </c>
      <c r="G26" s="153">
        <f>'CFF Clean Data'!C96</f>
        <v>1.0809999999999999E-3</v>
      </c>
      <c r="H26" s="153">
        <f>'CFF Clean Data'!E147</f>
        <v>1.8100000000000002E-2</v>
      </c>
      <c r="I26" s="153">
        <f>'CFF Clean Data'!E174</f>
        <v>8.6300000000000002E-2</v>
      </c>
      <c r="J26" s="153">
        <f t="shared" si="2"/>
        <v>1.4154150000000001E-2</v>
      </c>
      <c r="K26" s="153">
        <f t="shared" si="1"/>
        <v>5.2133950000000009E-3</v>
      </c>
    </row>
    <row r="27" spans="1:11">
      <c r="A27" s="196" t="s">
        <v>170</v>
      </c>
      <c r="B27" t="s">
        <v>724</v>
      </c>
      <c r="C27">
        <v>0</v>
      </c>
      <c r="D27">
        <v>0</v>
      </c>
      <c r="E27">
        <v>0</v>
      </c>
      <c r="F27">
        <v>0</v>
      </c>
      <c r="G27" s="153">
        <f>'CFF Clean Data'!F100</f>
        <v>7.4400000000000004E-3</v>
      </c>
      <c r="H27">
        <v>0</v>
      </c>
      <c r="I27" s="153">
        <f>'CFF Clean Data'!D178</f>
        <v>7.7367600000000003</v>
      </c>
      <c r="J27" s="153">
        <f t="shared" si="2"/>
        <v>0</v>
      </c>
      <c r="K27" s="153">
        <f t="shared" si="1"/>
        <v>3.0876000000000002E-3</v>
      </c>
    </row>
    <row r="28" spans="1:11">
      <c r="A28" s="196"/>
      <c r="B28" t="s">
        <v>725</v>
      </c>
      <c r="C28">
        <f>'CFF Clean Data'!C15</f>
        <v>5.3400000000000003E-2</v>
      </c>
      <c r="D28">
        <f>'CFF Clean Data'!C30</f>
        <v>1.67E-2</v>
      </c>
      <c r="E28" s="153">
        <f>'CFF Clean Data'!D70</f>
        <v>2.9199999999999997E-2</v>
      </c>
      <c r="F28" s="153">
        <f>'CFF Clean Data'!D85</f>
        <v>1.5800235912443634E-2</v>
      </c>
      <c r="G28" s="153">
        <f>'CFF Clean Data'!D100</f>
        <v>1.4827036082474225E-2</v>
      </c>
      <c r="H28" s="153">
        <f>'CFF Clean Data'!C151</f>
        <v>1.32</v>
      </c>
      <c r="I28">
        <f>'CFF Clean Data'!C178</f>
        <v>10.6</v>
      </c>
      <c r="J28" s="153">
        <f t="shared" si="2"/>
        <v>5.1565E-2</v>
      </c>
      <c r="K28" s="153">
        <f t="shared" si="1"/>
        <v>2.2632230590286767E-2</v>
      </c>
    </row>
    <row r="29" spans="1:11">
      <c r="A29" s="196"/>
      <c r="B29" t="s">
        <v>726</v>
      </c>
      <c r="C29" s="153">
        <f>'CFF Clean Data'!D15</f>
        <v>3.4400000000000001E-4</v>
      </c>
      <c r="D29" s="153">
        <f>'CFF Clean Data'!D30</f>
        <v>1.66E-5</v>
      </c>
      <c r="E29" s="153">
        <f>'CFF Clean Data'!E70</f>
        <v>1.882967418546366E-4</v>
      </c>
      <c r="F29" s="153">
        <f>'CFF Clean Data'!E85</f>
        <v>1.56711123723042E-5</v>
      </c>
      <c r="G29" s="153">
        <f>'CFF Clean Data'!E100</f>
        <v>2.2057504295532645E-4</v>
      </c>
      <c r="H29" s="153">
        <f>'CFF Clean Data'!D151</f>
        <v>0.52600000000000002</v>
      </c>
      <c r="I29" s="153">
        <f>'CFF Clean Data'!F178</f>
        <v>4.19E-2</v>
      </c>
      <c r="J29" s="153">
        <f t="shared" si="2"/>
        <v>3.2762999999999998E-4</v>
      </c>
      <c r="K29" s="153">
        <f t="shared" si="1"/>
        <v>1.9392408348471794E-4</v>
      </c>
    </row>
    <row r="30" spans="1:11">
      <c r="A30" s="196"/>
      <c r="B30" t="s">
        <v>727</v>
      </c>
      <c r="C30" s="153">
        <f>'CFF Clean Data'!E15</f>
        <v>84.3</v>
      </c>
      <c r="D30" s="153">
        <f>'CFF Clean Data'!E30</f>
        <v>7.5899999999999995E-2</v>
      </c>
      <c r="E30" s="153">
        <f>'CFF Clean Data'!C70</f>
        <v>50</v>
      </c>
      <c r="F30" s="153">
        <f>'CFF Clean Data'!C85</f>
        <v>7.1999999999999995E-2</v>
      </c>
      <c r="G30" s="153">
        <f>'CFF Clean Data'!C100</f>
        <v>0.13740000000000002</v>
      </c>
      <c r="H30" s="153">
        <f>'CFF Clean Data'!E151</f>
        <v>4.6100000000000003</v>
      </c>
      <c r="I30" s="153">
        <f>'CFF Clean Data'!E178</f>
        <v>12.4</v>
      </c>
      <c r="J30" s="153">
        <f t="shared" si="2"/>
        <v>80.08879499999999</v>
      </c>
      <c r="K30" s="153">
        <f t="shared" si="1"/>
        <v>27.060261000000001</v>
      </c>
    </row>
    <row r="31" spans="1:11">
      <c r="A31" s="196"/>
      <c r="B31" t="s">
        <v>728</v>
      </c>
      <c r="C31" s="153">
        <f>'CFF Clean Data'!E15</f>
        <v>84.3</v>
      </c>
      <c r="D31" s="153">
        <f>'CFF Clean Data'!E30</f>
        <v>7.5899999999999995E-2</v>
      </c>
      <c r="E31" s="153">
        <f>'CFF Clean Data'!C70</f>
        <v>50</v>
      </c>
      <c r="F31" s="153">
        <f>'CFF Clean Data'!C85</f>
        <v>7.1999999999999995E-2</v>
      </c>
      <c r="G31" s="153">
        <f>'CFF Clean Data'!C100</f>
        <v>0.13740000000000002</v>
      </c>
      <c r="H31" s="153">
        <f>'CFF Clean Data'!E151</f>
        <v>4.6100000000000003</v>
      </c>
      <c r="I31" s="153">
        <f>'CFF Clean Data'!E178</f>
        <v>12.4</v>
      </c>
      <c r="J31" s="153">
        <f t="shared" si="2"/>
        <v>80.08879499999999</v>
      </c>
      <c r="K31" s="153">
        <f t="shared" si="1"/>
        <v>27.060261000000001</v>
      </c>
    </row>
    <row r="32" spans="1:11">
      <c r="A32" s="196" t="s">
        <v>172</v>
      </c>
      <c r="B32" t="s">
        <v>729</v>
      </c>
      <c r="C32">
        <v>0</v>
      </c>
      <c r="D32">
        <v>0</v>
      </c>
      <c r="E32">
        <v>0</v>
      </c>
      <c r="F32">
        <v>0</v>
      </c>
      <c r="G32" s="153">
        <f>'CFF Clean Data'!F102</f>
        <v>7.4699999999999995E-12</v>
      </c>
      <c r="H32">
        <v>0</v>
      </c>
      <c r="I32" s="153">
        <f>'CFF Clean Data'!D180</f>
        <v>7.4988E-11</v>
      </c>
      <c r="J32" s="153">
        <f t="shared" si="2"/>
        <v>0</v>
      </c>
      <c r="K32" s="153">
        <f t="shared" si="1"/>
        <v>3.1000499999999995E-12</v>
      </c>
    </row>
    <row r="33" spans="1:11">
      <c r="A33" s="196"/>
      <c r="B33" t="s">
        <v>730</v>
      </c>
      <c r="C33">
        <f>'CFF Clean Data'!C17</f>
        <v>5.1799999999999998E-11</v>
      </c>
      <c r="D33">
        <f>'CFF Clean Data'!C32</f>
        <v>1.6999999999999999E-11</v>
      </c>
      <c r="E33" s="153">
        <f>'CFF Clean Data'!D72</f>
        <v>2.8349999999999998E-11</v>
      </c>
      <c r="F33" s="153">
        <f>'CFF Clean Data'!D87</f>
        <v>1.6066906560754917E-11</v>
      </c>
      <c r="G33" s="153">
        <f>'CFF Clean Data'!D102</f>
        <v>1.5101610824742272E-11</v>
      </c>
      <c r="H33" s="153">
        <f>'CFF Clean Data'!C153</f>
        <v>6.2800000000000005E-11</v>
      </c>
      <c r="I33">
        <f>'CFF Clean Data'!C180</f>
        <v>2.8999999999999998E-10</v>
      </c>
      <c r="J33" s="153">
        <f t="shared" si="2"/>
        <v>5.006E-11</v>
      </c>
      <c r="K33" s="153">
        <f t="shared" si="1"/>
        <v>2.2299179287502016E-11</v>
      </c>
    </row>
    <row r="34" spans="1:11">
      <c r="A34" s="196"/>
      <c r="B34" t="s">
        <v>731</v>
      </c>
      <c r="C34" s="153">
        <f>'CFF Clean Data'!D17</f>
        <v>1.923E-14</v>
      </c>
      <c r="D34" s="153">
        <f>'CFF Clean Data'!D32</f>
        <v>9.2700000000000007E-16</v>
      </c>
      <c r="E34" s="153">
        <f>'CFF Clean Data'!E72</f>
        <v>1.0530538847117795E-14</v>
      </c>
      <c r="F34" s="153">
        <f>'CFF Clean Data'!E87</f>
        <v>8.8024971623155496E-16</v>
      </c>
      <c r="G34" s="153">
        <f>'CFF Clean Data'!E102</f>
        <v>1.2447388316151203E-14</v>
      </c>
      <c r="H34" s="153">
        <f>'CFF Clean Data'!D153</f>
        <v>3.0099999999999998E-11</v>
      </c>
      <c r="I34" s="153">
        <f>'CFF Clean Data'!F180</f>
        <v>2.3900000000000001E-12</v>
      </c>
      <c r="J34" s="153">
        <f t="shared" si="2"/>
        <v>1.8314850000000001E-14</v>
      </c>
      <c r="K34" s="153">
        <f t="shared" si="1"/>
        <v>1.0891768365876779E-14</v>
      </c>
    </row>
    <row r="35" spans="1:11">
      <c r="A35" s="196"/>
      <c r="B35" t="s">
        <v>732</v>
      </c>
      <c r="C35" s="153">
        <f>'CFF Clean Data'!E17</f>
        <v>1.018E-10</v>
      </c>
      <c r="D35" s="153">
        <f>'CFF Clean Data'!E32</f>
        <v>6.8300000000000002E-13</v>
      </c>
      <c r="E35" s="153">
        <f>'CFF Clean Data'!C72</f>
        <v>6.0300000000000001E-11</v>
      </c>
      <c r="F35" s="153">
        <f>'CFF Clean Data'!C87</f>
        <v>6.4699999999999997E-13</v>
      </c>
      <c r="G35" s="153">
        <f>'CFF Clean Data'!C102</f>
        <v>2.8209999999999999E-11</v>
      </c>
      <c r="H35" s="153">
        <f>'CFF Clean Data'!E153</f>
        <v>5.2700000000000004E-10</v>
      </c>
      <c r="I35" s="153">
        <f>'CFF Clean Data'!E180</f>
        <v>3.2599999999999999E-9</v>
      </c>
      <c r="J35" s="153">
        <f t="shared" si="2"/>
        <v>9.6744149999999998E-11</v>
      </c>
      <c r="K35" s="153">
        <f t="shared" si="1"/>
        <v>4.4298264999999998E-11</v>
      </c>
    </row>
    <row r="36" spans="1:11">
      <c r="A36" s="196"/>
      <c r="B36" t="s">
        <v>733</v>
      </c>
      <c r="C36" s="153">
        <f>'CFF Clean Data'!E17</f>
        <v>1.018E-10</v>
      </c>
      <c r="D36" s="153">
        <f>'CFF Clean Data'!E32</f>
        <v>6.8300000000000002E-13</v>
      </c>
      <c r="E36" s="153">
        <f>'CFF Clean Data'!C72</f>
        <v>6.0300000000000001E-11</v>
      </c>
      <c r="F36" s="153">
        <f>'CFF Clean Data'!C87</f>
        <v>6.4699999999999997E-13</v>
      </c>
      <c r="G36" s="153">
        <f>'CFF Clean Data'!C102</f>
        <v>2.8209999999999999E-11</v>
      </c>
      <c r="H36" s="153">
        <f>'CFF Clean Data'!E153</f>
        <v>5.2700000000000004E-10</v>
      </c>
      <c r="I36" s="153">
        <f>'CFF Clean Data'!E180</f>
        <v>3.2599999999999999E-9</v>
      </c>
      <c r="J36" s="153">
        <f t="shared" si="2"/>
        <v>9.6744149999999998E-11</v>
      </c>
      <c r="K36" s="153">
        <f t="shared" si="1"/>
        <v>4.4298264999999998E-11</v>
      </c>
    </row>
    <row r="37" spans="1:11">
      <c r="A37" s="196" t="s">
        <v>173</v>
      </c>
      <c r="B37" t="s">
        <v>734</v>
      </c>
      <c r="C37">
        <v>0</v>
      </c>
      <c r="D37">
        <v>0</v>
      </c>
      <c r="E37">
        <v>0</v>
      </c>
      <c r="F37">
        <v>0</v>
      </c>
      <c r="G37" s="153">
        <f>'CFF Clean Data'!F103</f>
        <v>1.8300000000000001E-5</v>
      </c>
      <c r="H37">
        <v>0</v>
      </c>
      <c r="I37" s="153">
        <f>'CFF Clean Data'!D181</f>
        <v>6.4800000000000003E-4</v>
      </c>
      <c r="J37" s="153">
        <f t="shared" si="2"/>
        <v>0</v>
      </c>
      <c r="K37" s="153">
        <f t="shared" si="1"/>
        <v>7.5944999999999999E-6</v>
      </c>
    </row>
    <row r="38" spans="1:11">
      <c r="A38" s="196"/>
      <c r="B38" t="s">
        <v>735</v>
      </c>
      <c r="C38">
        <f>'CFF Clean Data'!C18</f>
        <v>1.3739999999999998E-4</v>
      </c>
      <c r="D38">
        <f>'CFF Clean Data'!C33</f>
        <v>4.0800000000000002E-5</v>
      </c>
      <c r="E38" s="153">
        <f>'CFF Clean Data'!D73</f>
        <v>7.5116666666666658E-5</v>
      </c>
      <c r="F38" s="153">
        <f>'CFF Clean Data'!D88</f>
        <v>3.86005763430585E-5</v>
      </c>
      <c r="G38" s="153">
        <f>'CFF Clean Data'!D103</f>
        <v>3.6060816151202756E-5</v>
      </c>
      <c r="H38" s="153">
        <f>'CFF Clean Data'!C154</f>
        <v>5.4900000000000001E-3</v>
      </c>
      <c r="I38">
        <f>'CFF Clean Data'!C181</f>
        <v>4.4400000000000002E-2</v>
      </c>
      <c r="J38" s="153">
        <f t="shared" si="2"/>
        <v>1.3256999999999999E-4</v>
      </c>
      <c r="K38" s="153">
        <f t="shared" si="1"/>
        <v>5.7265264638186773E-5</v>
      </c>
    </row>
    <row r="39" spans="1:11">
      <c r="A39" s="196"/>
      <c r="B39" t="s">
        <v>736</v>
      </c>
      <c r="C39" s="153">
        <f>'CFF Clean Data'!D18</f>
        <v>2.9400000000000002E-6</v>
      </c>
      <c r="D39" s="153">
        <f>'CFF Clean Data'!D33</f>
        <v>1.42E-7</v>
      </c>
      <c r="E39" s="153">
        <f>'CFF Clean Data'!E73</f>
        <v>1.608404761904762E-6</v>
      </c>
      <c r="F39" s="153">
        <f>'CFF Clean Data'!E88</f>
        <v>1.3403802497162316E-7</v>
      </c>
      <c r="G39" s="153">
        <f>'CFF Clean Data'!E103</f>
        <v>1.7481258591065291E-6</v>
      </c>
      <c r="H39" s="153">
        <f>'CFF Clean Data'!D154</f>
        <v>4.7699999999999999E-3</v>
      </c>
      <c r="I39" s="153">
        <f>'CFF Clean Data'!F181</f>
        <v>3.8000000000000002E-4</v>
      </c>
      <c r="J39" s="153">
        <f t="shared" si="2"/>
        <v>2.8001000000000001E-6</v>
      </c>
      <c r="K39" s="153">
        <f t="shared" si="1"/>
        <v>1.6000425140815042E-6</v>
      </c>
    </row>
    <row r="40" spans="1:11">
      <c r="A40" s="196"/>
      <c r="B40" t="s">
        <v>737</v>
      </c>
      <c r="C40" s="153">
        <f>'CFF Clean Data'!E18</f>
        <v>1.1679999999999999E-2</v>
      </c>
      <c r="D40" s="153">
        <f>'CFF Clean Data'!E33</f>
        <v>2.4399999999999999E-4</v>
      </c>
      <c r="E40" s="153">
        <f>'CFF Clean Data'!C73</f>
        <v>6.9100000000000003E-3</v>
      </c>
      <c r="F40" s="153">
        <f>'CFF Clean Data'!C88</f>
        <v>2.31E-4</v>
      </c>
      <c r="G40" s="153">
        <f>'CFF Clean Data'!C103</f>
        <v>1.1949999999999999E-3</v>
      </c>
      <c r="H40" s="153">
        <f>'CFF Clean Data'!E154</f>
        <v>9.3100000000000006E-3</v>
      </c>
      <c r="I40" s="153">
        <f>'CFF Clean Data'!E181</f>
        <v>4.2599999999999999E-2</v>
      </c>
      <c r="J40" s="153">
        <f t="shared" si="2"/>
        <v>1.1108199999999999E-2</v>
      </c>
      <c r="K40" s="153">
        <f t="shared" si="1"/>
        <v>4.2377200000000004E-3</v>
      </c>
    </row>
    <row r="41" spans="1:11">
      <c r="A41" s="196"/>
      <c r="B41" t="s">
        <v>738</v>
      </c>
      <c r="C41" s="153">
        <f>'CFF Clean Data'!E18</f>
        <v>1.1679999999999999E-2</v>
      </c>
      <c r="D41" s="153">
        <f>'CFF Clean Data'!E33</f>
        <v>2.4399999999999999E-4</v>
      </c>
      <c r="E41" s="153">
        <f>'CFF Clean Data'!C73</f>
        <v>6.9100000000000003E-3</v>
      </c>
      <c r="F41" s="153">
        <f>'CFF Clean Data'!C88</f>
        <v>2.31E-4</v>
      </c>
      <c r="G41" s="153">
        <f>'CFF Clean Data'!C103</f>
        <v>1.1949999999999999E-3</v>
      </c>
      <c r="H41" s="153">
        <f>'CFF Clean Data'!E154</f>
        <v>9.3100000000000006E-3</v>
      </c>
      <c r="I41" s="153">
        <f>'CFF Clean Data'!E181</f>
        <v>4.2599999999999999E-2</v>
      </c>
      <c r="J41" s="153">
        <f t="shared" si="2"/>
        <v>1.1108199999999999E-2</v>
      </c>
      <c r="K41" s="153">
        <f t="shared" si="1"/>
        <v>4.2377200000000004E-3</v>
      </c>
    </row>
  </sheetData>
  <mergeCells count="8">
    <mergeCell ref="A32:A36"/>
    <mergeCell ref="A37:A41"/>
    <mergeCell ref="A2:A6"/>
    <mergeCell ref="A7:A11"/>
    <mergeCell ref="A12:A16"/>
    <mergeCell ref="A17:A21"/>
    <mergeCell ref="A22:A26"/>
    <mergeCell ref="A27:A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topLeftCell="A19" workbookViewId="0">
      <selection activeCell="A32" sqref="A32"/>
    </sheetView>
  </sheetViews>
  <sheetFormatPr baseColWidth="10" defaultColWidth="9.140625" defaultRowHeight="15"/>
  <cols>
    <col min="1" max="1" width="40.28515625" customWidth="1"/>
    <col min="2" max="2" width="13" bestFit="1" customWidth="1"/>
    <col min="3" max="3" width="13" customWidth="1"/>
    <col min="4" max="4" width="13" bestFit="1" customWidth="1"/>
  </cols>
  <sheetData>
    <row r="1" spans="1:7">
      <c r="A1" t="s">
        <v>678</v>
      </c>
      <c r="B1" t="s">
        <v>677</v>
      </c>
      <c r="C1" t="s">
        <v>665</v>
      </c>
      <c r="D1" t="s">
        <v>661</v>
      </c>
      <c r="E1" t="s">
        <v>662</v>
      </c>
      <c r="F1" t="s">
        <v>663</v>
      </c>
      <c r="G1" t="s">
        <v>664</v>
      </c>
    </row>
    <row r="2" spans="1:7">
      <c r="A2" t="s">
        <v>672</v>
      </c>
      <c r="B2" t="s">
        <v>656</v>
      </c>
      <c r="C2" t="s">
        <v>669</v>
      </c>
      <c r="D2">
        <f>'CFF Clean Data'!C39</f>
        <v>0.2</v>
      </c>
    </row>
    <row r="3" spans="1:7">
      <c r="A3" t="s">
        <v>672</v>
      </c>
      <c r="B3" t="s">
        <v>657</v>
      </c>
      <c r="C3" t="s">
        <v>669</v>
      </c>
      <c r="D3">
        <f>'CFF Clean Data'!C40</f>
        <v>0</v>
      </c>
    </row>
    <row r="4" spans="1:7">
      <c r="A4" t="s">
        <v>672</v>
      </c>
      <c r="B4" t="s">
        <v>658</v>
      </c>
      <c r="C4" t="s">
        <v>668</v>
      </c>
      <c r="D4">
        <v>0.92</v>
      </c>
      <c r="E4">
        <v>0.03</v>
      </c>
      <c r="F4">
        <v>0.76</v>
      </c>
      <c r="G4">
        <v>0.98</v>
      </c>
    </row>
    <row r="5" spans="1:7">
      <c r="A5" t="s">
        <v>672</v>
      </c>
      <c r="B5" t="s">
        <v>666</v>
      </c>
      <c r="C5" t="s">
        <v>669</v>
      </c>
      <c r="D5">
        <v>1</v>
      </c>
    </row>
    <row r="6" spans="1:7">
      <c r="A6" s="156" t="s">
        <v>672</v>
      </c>
      <c r="B6" t="s">
        <v>659</v>
      </c>
      <c r="C6" t="s">
        <v>667</v>
      </c>
      <c r="D6">
        <v>0.8</v>
      </c>
      <c r="E6">
        <v>1</v>
      </c>
      <c r="F6">
        <v>1</v>
      </c>
    </row>
    <row r="7" spans="1:7">
      <c r="A7" s="156" t="s">
        <v>672</v>
      </c>
      <c r="B7" t="s">
        <v>660</v>
      </c>
      <c r="C7" t="s">
        <v>668</v>
      </c>
      <c r="D7">
        <v>0.78</v>
      </c>
      <c r="E7">
        <v>0.15</v>
      </c>
      <c r="F7">
        <v>0.42</v>
      </c>
      <c r="G7">
        <v>1</v>
      </c>
    </row>
    <row r="8" spans="1:7">
      <c r="A8" t="s">
        <v>673</v>
      </c>
      <c r="B8" t="s">
        <v>656</v>
      </c>
      <c r="C8" t="s">
        <v>669</v>
      </c>
      <c r="D8">
        <v>0.2</v>
      </c>
    </row>
    <row r="9" spans="1:7">
      <c r="A9" t="s">
        <v>673</v>
      </c>
      <c r="B9" t="s">
        <v>657</v>
      </c>
      <c r="C9" t="s">
        <v>669</v>
      </c>
      <c r="D9">
        <v>0</v>
      </c>
    </row>
    <row r="10" spans="1:7">
      <c r="A10" s="156" t="s">
        <v>673</v>
      </c>
      <c r="B10" t="s">
        <v>658</v>
      </c>
      <c r="C10" t="s">
        <v>668</v>
      </c>
      <c r="D10">
        <v>0.9</v>
      </c>
      <c r="E10">
        <v>7.0000000000000007E-2</v>
      </c>
      <c r="F10">
        <v>0.81</v>
      </c>
      <c r="G10">
        <v>0.98</v>
      </c>
    </row>
    <row r="11" spans="1:7">
      <c r="A11" t="s">
        <v>673</v>
      </c>
      <c r="B11" t="s">
        <v>666</v>
      </c>
      <c r="C11" t="s">
        <v>669</v>
      </c>
      <c r="D11">
        <v>1</v>
      </c>
    </row>
    <row r="12" spans="1:7">
      <c r="A12" s="156" t="s">
        <v>673</v>
      </c>
      <c r="B12" t="s">
        <v>659</v>
      </c>
      <c r="C12" t="s">
        <v>668</v>
      </c>
      <c r="D12">
        <v>0.8</v>
      </c>
      <c r="E12">
        <v>0.13</v>
      </c>
      <c r="F12">
        <v>0.5</v>
      </c>
      <c r="G12">
        <v>1</v>
      </c>
    </row>
    <row r="13" spans="1:7">
      <c r="A13" s="156" t="s">
        <v>673</v>
      </c>
      <c r="B13" t="s">
        <v>660</v>
      </c>
      <c r="C13" t="s">
        <v>668</v>
      </c>
      <c r="D13">
        <v>0.82</v>
      </c>
      <c r="E13">
        <v>0.12</v>
      </c>
      <c r="F13">
        <v>0.51</v>
      </c>
      <c r="G13">
        <v>1</v>
      </c>
    </row>
    <row r="14" spans="1:7">
      <c r="A14" t="s">
        <v>674</v>
      </c>
      <c r="B14" t="s">
        <v>656</v>
      </c>
      <c r="C14" t="s">
        <v>669</v>
      </c>
      <c r="D14">
        <v>0.2</v>
      </c>
    </row>
    <row r="15" spans="1:7">
      <c r="A15" t="s">
        <v>674</v>
      </c>
      <c r="B15" t="s">
        <v>657</v>
      </c>
      <c r="C15" t="s">
        <v>669</v>
      </c>
      <c r="D15">
        <v>0</v>
      </c>
    </row>
    <row r="16" spans="1:7">
      <c r="A16" t="s">
        <v>674</v>
      </c>
      <c r="B16" t="s">
        <v>658</v>
      </c>
      <c r="C16" t="s">
        <v>668</v>
      </c>
      <c r="D16">
        <v>0.92</v>
      </c>
      <c r="E16">
        <v>0.03</v>
      </c>
      <c r="F16">
        <v>0.76</v>
      </c>
      <c r="G16">
        <v>0.98</v>
      </c>
    </row>
    <row r="17" spans="1:7">
      <c r="A17" t="s">
        <v>674</v>
      </c>
      <c r="B17" t="s">
        <v>666</v>
      </c>
      <c r="C17" t="s">
        <v>669</v>
      </c>
      <c r="D17">
        <v>1</v>
      </c>
    </row>
    <row r="18" spans="1:7">
      <c r="A18" t="s">
        <v>674</v>
      </c>
      <c r="B18" t="s">
        <v>659</v>
      </c>
      <c r="C18" t="s">
        <v>667</v>
      </c>
      <c r="D18">
        <v>0.8</v>
      </c>
      <c r="E18">
        <v>1</v>
      </c>
      <c r="F18">
        <v>1</v>
      </c>
    </row>
    <row r="19" spans="1:7">
      <c r="A19" t="s">
        <v>674</v>
      </c>
      <c r="B19" t="s">
        <v>660</v>
      </c>
      <c r="C19" t="s">
        <v>668</v>
      </c>
      <c r="D19">
        <v>0.78</v>
      </c>
      <c r="E19">
        <v>0.15</v>
      </c>
      <c r="F19">
        <v>0.42</v>
      </c>
      <c r="G19">
        <v>1</v>
      </c>
    </row>
    <row r="20" spans="1:7">
      <c r="A20" t="s">
        <v>675</v>
      </c>
      <c r="B20" t="s">
        <v>656</v>
      </c>
      <c r="C20" t="s">
        <v>669</v>
      </c>
      <c r="D20">
        <v>0.2</v>
      </c>
    </row>
    <row r="21" spans="1:7">
      <c r="A21" t="s">
        <v>675</v>
      </c>
      <c r="B21" t="s">
        <v>657</v>
      </c>
      <c r="C21" t="s">
        <v>669</v>
      </c>
      <c r="D21">
        <v>0</v>
      </c>
    </row>
    <row r="22" spans="1:7">
      <c r="A22" t="s">
        <v>675</v>
      </c>
      <c r="B22" t="s">
        <v>658</v>
      </c>
      <c r="C22" t="s">
        <v>668</v>
      </c>
      <c r="D22">
        <v>0.9</v>
      </c>
      <c r="E22">
        <v>7.0000000000000007E-2</v>
      </c>
      <c r="F22">
        <v>0.81</v>
      </c>
      <c r="G22">
        <v>0.98</v>
      </c>
    </row>
    <row r="23" spans="1:7">
      <c r="A23" t="s">
        <v>675</v>
      </c>
      <c r="B23" t="s">
        <v>666</v>
      </c>
      <c r="C23" t="s">
        <v>669</v>
      </c>
      <c r="D23">
        <v>1</v>
      </c>
    </row>
    <row r="24" spans="1:7">
      <c r="A24" t="s">
        <v>675</v>
      </c>
      <c r="B24" t="s">
        <v>659</v>
      </c>
      <c r="C24" t="s">
        <v>668</v>
      </c>
      <c r="D24">
        <v>0.8</v>
      </c>
      <c r="E24">
        <v>0.13</v>
      </c>
      <c r="F24">
        <v>0.5</v>
      </c>
      <c r="G24">
        <v>1</v>
      </c>
    </row>
    <row r="25" spans="1:7">
      <c r="A25" t="s">
        <v>675</v>
      </c>
      <c r="B25" t="s">
        <v>660</v>
      </c>
      <c r="C25" t="s">
        <v>668</v>
      </c>
      <c r="D25">
        <v>0.82</v>
      </c>
      <c r="E25">
        <v>0.12</v>
      </c>
      <c r="F25">
        <v>0.51</v>
      </c>
      <c r="G25">
        <v>1</v>
      </c>
    </row>
    <row r="26" spans="1:7">
      <c r="A26" t="s">
        <v>676</v>
      </c>
      <c r="B26" t="s">
        <v>656</v>
      </c>
      <c r="C26" t="s">
        <v>821</v>
      </c>
      <c r="D26">
        <v>0.5</v>
      </c>
      <c r="E26">
        <v>0.8</v>
      </c>
    </row>
    <row r="27" spans="1:7">
      <c r="A27" t="s">
        <v>676</v>
      </c>
      <c r="B27" t="s">
        <v>657</v>
      </c>
      <c r="C27" t="s">
        <v>669</v>
      </c>
      <c r="D27">
        <v>0</v>
      </c>
    </row>
    <row r="28" spans="1:7">
      <c r="A28" t="s">
        <v>676</v>
      </c>
      <c r="B28" t="s">
        <v>658</v>
      </c>
      <c r="C28" t="s">
        <v>668</v>
      </c>
      <c r="D28">
        <v>0.4</v>
      </c>
      <c r="E28">
        <v>0.17599999999999999</v>
      </c>
      <c r="F28">
        <v>0</v>
      </c>
      <c r="G28">
        <v>0.8</v>
      </c>
    </row>
    <row r="29" spans="1:7">
      <c r="A29" t="s">
        <v>676</v>
      </c>
      <c r="B29" t="s">
        <v>666</v>
      </c>
      <c r="C29" t="s">
        <v>669</v>
      </c>
      <c r="D29">
        <v>1</v>
      </c>
    </row>
    <row r="30" spans="1:7">
      <c r="A30" s="156" t="s">
        <v>676</v>
      </c>
      <c r="B30" t="s">
        <v>659</v>
      </c>
      <c r="C30" t="s">
        <v>668</v>
      </c>
      <c r="D30">
        <v>0.57999999999999996</v>
      </c>
      <c r="E30">
        <v>0.12</v>
      </c>
      <c r="F30">
        <v>0.36</v>
      </c>
      <c r="G30">
        <v>0.86</v>
      </c>
    </row>
    <row r="31" spans="1:7">
      <c r="A31" t="s">
        <v>676</v>
      </c>
      <c r="B31" t="s">
        <v>660</v>
      </c>
      <c r="C31" t="s">
        <v>668</v>
      </c>
      <c r="D31">
        <v>0.45</v>
      </c>
      <c r="E31">
        <v>0.12</v>
      </c>
      <c r="F31">
        <v>0.28999999999999998</v>
      </c>
      <c r="G31">
        <v>0.69</v>
      </c>
    </row>
    <row r="32" spans="1:7">
      <c r="A32" t="s">
        <v>670</v>
      </c>
      <c r="B32" t="s">
        <v>656</v>
      </c>
      <c r="C32" t="s">
        <v>668</v>
      </c>
      <c r="D32">
        <v>0.5</v>
      </c>
      <c r="E32">
        <v>0.05</v>
      </c>
      <c r="F32">
        <v>0.45</v>
      </c>
      <c r="G32">
        <v>0.55000000000000004</v>
      </c>
    </row>
    <row r="33" spans="1:7">
      <c r="A33" t="s">
        <v>670</v>
      </c>
      <c r="B33" t="s">
        <v>657</v>
      </c>
      <c r="C33" t="s">
        <v>669</v>
      </c>
      <c r="D33">
        <v>0</v>
      </c>
    </row>
    <row r="34" spans="1:7">
      <c r="A34" s="156" t="s">
        <v>670</v>
      </c>
      <c r="B34" t="s">
        <v>658</v>
      </c>
      <c r="C34" t="s">
        <v>667</v>
      </c>
      <c r="D34">
        <v>0</v>
      </c>
      <c r="E34" s="106">
        <v>0.7</v>
      </c>
      <c r="F34" s="106">
        <v>0.7</v>
      </c>
    </row>
    <row r="35" spans="1:7">
      <c r="A35" t="s">
        <v>670</v>
      </c>
      <c r="B35" t="s">
        <v>666</v>
      </c>
      <c r="C35" t="s">
        <v>669</v>
      </c>
      <c r="D35">
        <v>1</v>
      </c>
    </row>
    <row r="36" spans="1:7">
      <c r="A36" s="156" t="s">
        <v>670</v>
      </c>
      <c r="B36" t="s">
        <v>659</v>
      </c>
      <c r="C36" t="s">
        <v>668</v>
      </c>
      <c r="D36" s="106">
        <v>0.85</v>
      </c>
      <c r="E36" s="106">
        <v>0.1</v>
      </c>
      <c r="F36" s="106">
        <v>0.73</v>
      </c>
      <c r="G36" s="106">
        <v>1</v>
      </c>
    </row>
    <row r="37" spans="1:7">
      <c r="A37" s="156" t="s">
        <v>670</v>
      </c>
      <c r="B37" t="s">
        <v>660</v>
      </c>
      <c r="C37" t="s">
        <v>668</v>
      </c>
      <c r="D37" s="106">
        <v>0.76</v>
      </c>
      <c r="E37" s="106">
        <v>0.1</v>
      </c>
      <c r="F37" s="106">
        <v>0.48</v>
      </c>
      <c r="G37" s="106">
        <v>1</v>
      </c>
    </row>
    <row r="38" spans="1:7">
      <c r="A38" t="s">
        <v>671</v>
      </c>
      <c r="B38" t="s">
        <v>656</v>
      </c>
      <c r="C38" t="s">
        <v>857</v>
      </c>
      <c r="D38">
        <v>0.5</v>
      </c>
      <c r="E38">
        <v>0.7</v>
      </c>
    </row>
    <row r="39" spans="1:7">
      <c r="A39" t="s">
        <v>671</v>
      </c>
      <c r="B39" t="s">
        <v>657</v>
      </c>
      <c r="C39" t="s">
        <v>669</v>
      </c>
      <c r="D39">
        <v>0.6</v>
      </c>
    </row>
    <row r="40" spans="1:7">
      <c r="A40" t="s">
        <v>671</v>
      </c>
      <c r="B40" t="s">
        <v>658</v>
      </c>
      <c r="C40" t="s">
        <v>667</v>
      </c>
      <c r="D40">
        <v>0</v>
      </c>
      <c r="E40" s="106">
        <v>0.97</v>
      </c>
      <c r="F40" s="106">
        <v>0.97</v>
      </c>
    </row>
    <row r="41" spans="1:7">
      <c r="A41" t="s">
        <v>671</v>
      </c>
      <c r="B41" t="s">
        <v>666</v>
      </c>
      <c r="C41" t="s">
        <v>669</v>
      </c>
      <c r="D41">
        <v>1</v>
      </c>
    </row>
    <row r="42" spans="1:7">
      <c r="A42" s="156" t="s">
        <v>671</v>
      </c>
      <c r="B42" t="s">
        <v>659</v>
      </c>
      <c r="C42" t="s">
        <v>668</v>
      </c>
      <c r="D42">
        <v>0.85</v>
      </c>
      <c r="E42">
        <v>0.05</v>
      </c>
      <c r="F42">
        <v>0.73</v>
      </c>
      <c r="G42">
        <v>0.9</v>
      </c>
    </row>
    <row r="43" spans="1:7">
      <c r="A43" s="156" t="s">
        <v>671</v>
      </c>
      <c r="B43" t="s">
        <v>660</v>
      </c>
      <c r="C43" t="s">
        <v>668</v>
      </c>
      <c r="D43">
        <v>0.67</v>
      </c>
      <c r="E43">
        <v>0.1</v>
      </c>
      <c r="F43">
        <v>0.23</v>
      </c>
      <c r="G43">
        <v>0.81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zoomScale="112" workbookViewId="0">
      <selection activeCell="I41" sqref="I41"/>
    </sheetView>
  </sheetViews>
  <sheetFormatPr baseColWidth="10" defaultColWidth="10.85546875" defaultRowHeight="15"/>
  <cols>
    <col min="2" max="2" width="15.85546875" customWidth="1"/>
    <col min="3" max="3" width="26" customWidth="1"/>
    <col min="5" max="5" width="34.28515625" customWidth="1"/>
    <col min="7" max="7" width="28.42578125" customWidth="1"/>
    <col min="9" max="9" width="22" customWidth="1"/>
    <col min="11" max="11" width="13.85546875" customWidth="1"/>
  </cols>
  <sheetData>
    <row r="2" spans="2:7" ht="21">
      <c r="B2" s="11" t="s">
        <v>24</v>
      </c>
    </row>
    <row r="3" spans="2:7" ht="15.75" thickBot="1"/>
    <row r="4" spans="2:7" ht="33" customHeight="1" thickBot="1">
      <c r="B4" s="15" t="s">
        <v>40</v>
      </c>
      <c r="C4" s="216" t="s">
        <v>41</v>
      </c>
      <c r="D4" s="217"/>
      <c r="E4" s="217"/>
      <c r="F4" s="217"/>
      <c r="G4" s="218"/>
    </row>
    <row r="5" spans="2:7" ht="15.75" thickBot="1"/>
    <row r="6" spans="2:7">
      <c r="B6" s="249" t="s">
        <v>25</v>
      </c>
      <c r="C6" s="250"/>
      <c r="D6" s="250"/>
      <c r="E6" s="250"/>
      <c r="F6" s="250"/>
      <c r="G6" s="251"/>
    </row>
    <row r="7" spans="2:7">
      <c r="B7" s="209" t="s">
        <v>42</v>
      </c>
      <c r="C7" s="252"/>
      <c r="D7" s="252"/>
      <c r="E7" s="252"/>
      <c r="F7" s="252"/>
      <c r="G7" s="206"/>
    </row>
    <row r="8" spans="2:7" ht="30.75" customHeight="1">
      <c r="B8" s="12" t="s">
        <v>26</v>
      </c>
      <c r="C8" s="244" t="s">
        <v>27</v>
      </c>
      <c r="D8" s="244"/>
      <c r="E8" s="244"/>
      <c r="F8" s="244"/>
      <c r="G8" s="245"/>
    </row>
    <row r="9" spans="2:7" ht="36" customHeight="1">
      <c r="B9" s="12" t="s">
        <v>28</v>
      </c>
      <c r="C9" s="244" t="s">
        <v>29</v>
      </c>
      <c r="D9" s="244"/>
      <c r="E9" s="244"/>
      <c r="F9" s="244"/>
      <c r="G9" s="245"/>
    </row>
    <row r="10" spans="2:7" ht="34.5" customHeight="1">
      <c r="B10" s="12" t="s">
        <v>30</v>
      </c>
      <c r="C10" s="244" t="s">
        <v>31</v>
      </c>
      <c r="D10" s="244"/>
      <c r="E10" s="244"/>
      <c r="F10" s="244"/>
      <c r="G10" s="245"/>
    </row>
    <row r="11" spans="2:7">
      <c r="B11" s="246" t="s">
        <v>32</v>
      </c>
      <c r="C11" s="247"/>
      <c r="D11" s="247"/>
      <c r="E11" s="247"/>
      <c r="F11" s="247"/>
      <c r="G11" s="248"/>
    </row>
    <row r="12" spans="2:7">
      <c r="B12" s="222" t="s">
        <v>33</v>
      </c>
      <c r="C12" s="223"/>
      <c r="D12" s="223" t="s">
        <v>34</v>
      </c>
      <c r="E12" s="223"/>
      <c r="F12" s="223" t="s">
        <v>35</v>
      </c>
      <c r="G12" s="238"/>
    </row>
    <row r="13" spans="2:7">
      <c r="B13" s="13" t="s">
        <v>36</v>
      </c>
      <c r="C13" s="16" t="s">
        <v>37</v>
      </c>
      <c r="D13" s="201"/>
      <c r="E13" s="202"/>
      <c r="F13" s="201"/>
      <c r="G13" s="205"/>
    </row>
    <row r="14" spans="2:7">
      <c r="B14" s="209"/>
      <c r="C14" s="204"/>
      <c r="D14" s="14" t="s">
        <v>36</v>
      </c>
      <c r="E14" s="17" t="s">
        <v>38</v>
      </c>
      <c r="F14" s="203"/>
      <c r="G14" s="206"/>
    </row>
    <row r="15" spans="2:7" ht="27.75" customHeight="1" thickBot="1">
      <c r="B15" s="210"/>
      <c r="C15" s="211"/>
      <c r="D15" s="212"/>
      <c r="E15" s="211"/>
      <c r="F15" s="214" t="s">
        <v>39</v>
      </c>
      <c r="G15" s="215"/>
    </row>
    <row r="19" spans="2:7" ht="15.75" thickBot="1"/>
    <row r="20" spans="2:7" ht="37.5" customHeight="1" thickBot="1">
      <c r="B20" s="15" t="s">
        <v>43</v>
      </c>
      <c r="C20" s="216" t="s">
        <v>44</v>
      </c>
      <c r="D20" s="217"/>
      <c r="E20" s="217"/>
      <c r="F20" s="217"/>
      <c r="G20" s="218"/>
    </row>
    <row r="21" spans="2:7" ht="15.75" thickBot="1"/>
    <row r="22" spans="2:7">
      <c r="B22" s="235" t="s">
        <v>32</v>
      </c>
      <c r="C22" s="236"/>
      <c r="D22" s="236"/>
      <c r="E22" s="236"/>
      <c r="F22" s="236"/>
      <c r="G22" s="237"/>
    </row>
    <row r="23" spans="2:7">
      <c r="B23" s="222" t="s">
        <v>33</v>
      </c>
      <c r="C23" s="223"/>
      <c r="D23" s="223" t="s">
        <v>34</v>
      </c>
      <c r="E23" s="223"/>
      <c r="F23" s="223" t="s">
        <v>35</v>
      </c>
      <c r="G23" s="238"/>
    </row>
    <row r="24" spans="2:7" ht="39" customHeight="1">
      <c r="B24" s="207" t="s">
        <v>46</v>
      </c>
      <c r="C24" s="208"/>
      <c r="D24" s="201"/>
      <c r="E24" s="202"/>
      <c r="F24" s="201"/>
      <c r="G24" s="205"/>
    </row>
    <row r="25" spans="2:7">
      <c r="B25" s="209"/>
      <c r="C25" s="204"/>
      <c r="D25" s="14" t="s">
        <v>36</v>
      </c>
      <c r="E25" s="22" t="s">
        <v>186</v>
      </c>
      <c r="F25" s="203"/>
      <c r="G25" s="206"/>
    </row>
    <row r="26" spans="2:7">
      <c r="B26" s="239"/>
      <c r="C26" s="240"/>
      <c r="D26" s="241"/>
      <c r="E26" s="240"/>
      <c r="F26" s="242" t="s">
        <v>47</v>
      </c>
      <c r="G26" s="243"/>
    </row>
    <row r="27" spans="2:7">
      <c r="B27" s="229" t="s">
        <v>45</v>
      </c>
      <c r="C27" s="230"/>
      <c r="D27" s="230"/>
      <c r="E27" s="230"/>
      <c r="F27" s="230"/>
      <c r="G27" s="231"/>
    </row>
    <row r="28" spans="2:7" ht="15.75" thickBot="1">
      <c r="B28" s="232"/>
      <c r="C28" s="233"/>
      <c r="D28" s="233"/>
      <c r="E28" s="233"/>
      <c r="F28" s="233"/>
      <c r="G28" s="234"/>
    </row>
    <row r="33" spans="2:11" ht="15.75" thickBot="1"/>
    <row r="34" spans="2:11" ht="58.5" customHeight="1" thickBot="1">
      <c r="B34" s="15" t="s">
        <v>48</v>
      </c>
      <c r="C34" s="216" t="s">
        <v>49</v>
      </c>
      <c r="D34" s="217"/>
      <c r="E34" s="217"/>
      <c r="F34" s="217"/>
      <c r="G34" s="218"/>
    </row>
    <row r="35" spans="2:11" ht="15.75" thickBot="1"/>
    <row r="36" spans="2:11">
      <c r="B36" s="235" t="s">
        <v>32</v>
      </c>
      <c r="C36" s="236"/>
      <c r="D36" s="236"/>
      <c r="E36" s="236"/>
      <c r="F36" s="236"/>
      <c r="G36" s="236"/>
      <c r="H36" s="236"/>
      <c r="I36" s="236"/>
      <c r="J36" s="236"/>
      <c r="K36" s="237"/>
    </row>
    <row r="37" spans="2:11">
      <c r="B37" s="222" t="s">
        <v>33</v>
      </c>
      <c r="C37" s="223"/>
      <c r="D37" s="223" t="s">
        <v>34</v>
      </c>
      <c r="E37" s="223"/>
      <c r="F37" s="223" t="s">
        <v>35</v>
      </c>
      <c r="G37" s="223"/>
      <c r="H37" s="223" t="s">
        <v>50</v>
      </c>
      <c r="I37" s="223"/>
      <c r="J37" s="223" t="s">
        <v>51</v>
      </c>
      <c r="K37" s="238"/>
    </row>
    <row r="38" spans="2:11" ht="15" customHeight="1">
      <c r="B38" s="226" t="s">
        <v>52</v>
      </c>
      <c r="C38" s="227"/>
      <c r="D38" s="201"/>
      <c r="E38" s="202"/>
      <c r="F38" s="201"/>
      <c r="G38" s="202"/>
      <c r="H38" s="201"/>
      <c r="I38" s="202"/>
      <c r="J38" s="201"/>
      <c r="K38" s="205"/>
    </row>
    <row r="39" spans="2:11" ht="30">
      <c r="B39" s="209"/>
      <c r="C39" s="204"/>
      <c r="D39" s="14" t="s">
        <v>36</v>
      </c>
      <c r="E39" s="17" t="s">
        <v>53</v>
      </c>
      <c r="F39" s="203"/>
      <c r="G39" s="204"/>
      <c r="H39" s="203"/>
      <c r="I39" s="204"/>
      <c r="J39" s="203"/>
      <c r="K39" s="206"/>
    </row>
    <row r="40" spans="2:11" ht="30">
      <c r="B40" s="209"/>
      <c r="C40" s="204"/>
      <c r="D40" s="203"/>
      <c r="E40" s="204"/>
      <c r="F40" s="14" t="s">
        <v>36</v>
      </c>
      <c r="G40" s="17" t="s">
        <v>54</v>
      </c>
      <c r="H40" s="203"/>
      <c r="I40" s="204"/>
      <c r="J40" s="203"/>
      <c r="K40" s="206"/>
    </row>
    <row r="41" spans="2:11" ht="45">
      <c r="B41" s="209"/>
      <c r="C41" s="204"/>
      <c r="D41" s="203"/>
      <c r="E41" s="204"/>
      <c r="F41" s="203"/>
      <c r="G41" s="204"/>
      <c r="H41" s="14" t="s">
        <v>36</v>
      </c>
      <c r="I41" s="17" t="s">
        <v>55</v>
      </c>
      <c r="J41" s="203"/>
      <c r="K41" s="206"/>
    </row>
    <row r="42" spans="2:11">
      <c r="B42" s="209"/>
      <c r="C42" s="204"/>
      <c r="D42" s="203"/>
      <c r="E42" s="204"/>
      <c r="F42" s="203"/>
      <c r="G42" s="204"/>
      <c r="H42" s="203"/>
      <c r="I42" s="204"/>
      <c r="J42" s="197" t="s">
        <v>56</v>
      </c>
      <c r="K42" s="213"/>
    </row>
    <row r="43" spans="2:11">
      <c r="B43" s="209"/>
      <c r="C43" s="204"/>
      <c r="D43" s="203"/>
      <c r="E43" s="204"/>
      <c r="F43" s="203"/>
      <c r="G43" s="204"/>
      <c r="H43" s="203"/>
      <c r="I43" s="204"/>
      <c r="J43" s="197"/>
      <c r="K43" s="213"/>
    </row>
    <row r="44" spans="2:11">
      <c r="B44" s="209"/>
      <c r="C44" s="204"/>
      <c r="D44" s="203"/>
      <c r="E44" s="204"/>
      <c r="F44" s="203"/>
      <c r="G44" s="204"/>
      <c r="H44" s="203"/>
      <c r="I44" s="204"/>
      <c r="J44" s="197"/>
      <c r="K44" s="213"/>
    </row>
    <row r="45" spans="2:11">
      <c r="B45" s="209"/>
      <c r="C45" s="204"/>
      <c r="D45" s="203"/>
      <c r="E45" s="204"/>
      <c r="F45" s="203"/>
      <c r="G45" s="204"/>
      <c r="H45" s="203"/>
      <c r="I45" s="204"/>
      <c r="J45" s="197"/>
      <c r="K45" s="213"/>
    </row>
    <row r="46" spans="2:11" ht="15.75" thickBot="1">
      <c r="B46" s="210"/>
      <c r="C46" s="211"/>
      <c r="D46" s="212"/>
      <c r="E46" s="211"/>
      <c r="F46" s="212"/>
      <c r="G46" s="211"/>
      <c r="H46" s="212"/>
      <c r="I46" s="211"/>
      <c r="J46" s="228"/>
      <c r="K46" s="215"/>
    </row>
    <row r="51" spans="2:13" ht="15.75" thickBot="1"/>
    <row r="52" spans="2:13" ht="96.75" customHeight="1" thickBot="1">
      <c r="B52" s="15" t="s">
        <v>57</v>
      </c>
      <c r="C52" s="216" t="s">
        <v>58</v>
      </c>
      <c r="D52" s="217"/>
      <c r="E52" s="217"/>
      <c r="F52" s="217"/>
      <c r="G52" s="217"/>
      <c r="H52" s="217"/>
      <c r="I52" s="217"/>
      <c r="J52" s="217"/>
      <c r="K52" s="218"/>
    </row>
    <row r="53" spans="2:13" ht="15.75" thickBot="1"/>
    <row r="54" spans="2:13">
      <c r="B54" s="219" t="s">
        <v>32</v>
      </c>
      <c r="C54" s="220"/>
      <c r="D54" s="220"/>
      <c r="E54" s="220"/>
      <c r="F54" s="220"/>
      <c r="G54" s="220"/>
      <c r="H54" s="220"/>
      <c r="I54" s="221"/>
    </row>
    <row r="55" spans="2:13">
      <c r="B55" s="222" t="s">
        <v>33</v>
      </c>
      <c r="C55" s="223"/>
      <c r="D55" s="223" t="s">
        <v>34</v>
      </c>
      <c r="E55" s="224"/>
      <c r="F55" s="223" t="s">
        <v>35</v>
      </c>
      <c r="G55" s="223"/>
      <c r="H55" s="224" t="s">
        <v>50</v>
      </c>
      <c r="I55" s="225"/>
    </row>
    <row r="56" spans="2:13" ht="55.5" customHeight="1">
      <c r="B56" s="199" t="s">
        <v>59</v>
      </c>
      <c r="C56" s="200"/>
      <c r="D56" s="201"/>
      <c r="E56" s="202"/>
      <c r="F56" s="201"/>
      <c r="G56" s="202"/>
      <c r="H56" s="201"/>
      <c r="I56" s="205"/>
    </row>
    <row r="57" spans="2:13" ht="38.25" customHeight="1">
      <c r="B57" s="207" t="s">
        <v>60</v>
      </c>
      <c r="C57" s="208"/>
      <c r="D57" s="203"/>
      <c r="E57" s="204"/>
      <c r="F57" s="203"/>
      <c r="G57" s="204"/>
      <c r="H57" s="203"/>
      <c r="I57" s="206"/>
    </row>
    <row r="58" spans="2:13" ht="22.5" customHeight="1">
      <c r="B58" s="209"/>
      <c r="C58" s="204"/>
      <c r="D58" s="197" t="s">
        <v>63</v>
      </c>
      <c r="E58" s="198"/>
      <c r="F58" s="203"/>
      <c r="G58" s="204"/>
      <c r="H58" s="203"/>
      <c r="I58" s="206"/>
    </row>
    <row r="59" spans="2:13" ht="99.75" customHeight="1">
      <c r="B59" s="209"/>
      <c r="C59" s="204"/>
      <c r="D59" s="203"/>
      <c r="E59" s="204"/>
      <c r="F59" s="197" t="s">
        <v>61</v>
      </c>
      <c r="G59" s="198"/>
      <c r="H59" s="203"/>
      <c r="I59" s="206"/>
      <c r="M59" s="23"/>
    </row>
    <row r="60" spans="2:13">
      <c r="B60" s="209"/>
      <c r="C60" s="204"/>
      <c r="D60" s="203"/>
      <c r="E60" s="204"/>
      <c r="F60" s="203"/>
      <c r="G60" s="204"/>
      <c r="H60" s="208" t="s">
        <v>62</v>
      </c>
      <c r="I60" s="213"/>
    </row>
    <row r="61" spans="2:13">
      <c r="B61" s="209"/>
      <c r="C61" s="204"/>
      <c r="D61" s="203"/>
      <c r="E61" s="204"/>
      <c r="F61" s="203"/>
      <c r="G61" s="204"/>
      <c r="H61" s="208"/>
      <c r="I61" s="213"/>
    </row>
    <row r="62" spans="2:13">
      <c r="B62" s="209"/>
      <c r="C62" s="204"/>
      <c r="D62" s="203"/>
      <c r="E62" s="204"/>
      <c r="F62" s="203"/>
      <c r="G62" s="204"/>
      <c r="H62" s="208"/>
      <c r="I62" s="213"/>
    </row>
    <row r="63" spans="2:13" ht="15.75" thickBot="1">
      <c r="B63" s="210"/>
      <c r="C63" s="211"/>
      <c r="D63" s="212"/>
      <c r="E63" s="211"/>
      <c r="F63" s="212"/>
      <c r="G63" s="211"/>
      <c r="H63" s="214"/>
      <c r="I63" s="215"/>
    </row>
    <row r="66" spans="2:3">
      <c r="B66" t="s">
        <v>22</v>
      </c>
      <c r="C66" s="9" t="s">
        <v>23</v>
      </c>
    </row>
  </sheetData>
  <mergeCells count="61">
    <mergeCell ref="C8:G8"/>
    <mergeCell ref="C9:G9"/>
    <mergeCell ref="C10:G10"/>
    <mergeCell ref="B11:G11"/>
    <mergeCell ref="C4:G4"/>
    <mergeCell ref="B6:G6"/>
    <mergeCell ref="B7:G7"/>
    <mergeCell ref="C20:G20"/>
    <mergeCell ref="B22:G22"/>
    <mergeCell ref="B23:C23"/>
    <mergeCell ref="D23:E23"/>
    <mergeCell ref="F23:G23"/>
    <mergeCell ref="B12:C12"/>
    <mergeCell ref="D12:E12"/>
    <mergeCell ref="F12:G12"/>
    <mergeCell ref="D13:E13"/>
    <mergeCell ref="F13:G14"/>
    <mergeCell ref="B14:C15"/>
    <mergeCell ref="D15:E15"/>
    <mergeCell ref="F15:G15"/>
    <mergeCell ref="B24:C24"/>
    <mergeCell ref="D24:E24"/>
    <mergeCell ref="F24:G25"/>
    <mergeCell ref="B25:C26"/>
    <mergeCell ref="D26:E26"/>
    <mergeCell ref="F26:G26"/>
    <mergeCell ref="B27:G28"/>
    <mergeCell ref="C34:G34"/>
    <mergeCell ref="B37:C37"/>
    <mergeCell ref="D37:E37"/>
    <mergeCell ref="F37:G37"/>
    <mergeCell ref="B36:K36"/>
    <mergeCell ref="H37:I37"/>
    <mergeCell ref="J37:K37"/>
    <mergeCell ref="H38:I40"/>
    <mergeCell ref="J38:K41"/>
    <mergeCell ref="B39:C46"/>
    <mergeCell ref="D40:E46"/>
    <mergeCell ref="F41:G46"/>
    <mergeCell ref="H42:I46"/>
    <mergeCell ref="B38:C38"/>
    <mergeCell ref="D38:E38"/>
    <mergeCell ref="F38:G39"/>
    <mergeCell ref="J42:K46"/>
    <mergeCell ref="C52:K52"/>
    <mergeCell ref="B54:I54"/>
    <mergeCell ref="B55:C55"/>
    <mergeCell ref="D55:E55"/>
    <mergeCell ref="F55:G55"/>
    <mergeCell ref="H55:I55"/>
    <mergeCell ref="D58:E58"/>
    <mergeCell ref="B56:C56"/>
    <mergeCell ref="D56:E57"/>
    <mergeCell ref="F56:G58"/>
    <mergeCell ref="H56:I59"/>
    <mergeCell ref="B57:C57"/>
    <mergeCell ref="B58:C63"/>
    <mergeCell ref="D59:E63"/>
    <mergeCell ref="F59:G59"/>
    <mergeCell ref="F60:G63"/>
    <mergeCell ref="H60:I63"/>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6"/>
  <sheetViews>
    <sheetView topLeftCell="E434" zoomScale="69" zoomScaleNormal="60" workbookViewId="0">
      <selection activeCell="I444" sqref="I444"/>
    </sheetView>
  </sheetViews>
  <sheetFormatPr baseColWidth="10" defaultColWidth="10.85546875" defaultRowHeight="15"/>
  <cols>
    <col min="2" max="2" width="96.42578125" customWidth="1"/>
    <col min="3" max="3" width="50.7109375" customWidth="1"/>
    <col min="4" max="4" width="68" customWidth="1"/>
    <col min="5" max="5" width="52" customWidth="1"/>
    <col min="6" max="6" width="61.140625" customWidth="1"/>
    <col min="7" max="7" width="111.140625" customWidth="1"/>
    <col min="8" max="8" width="47.42578125" customWidth="1"/>
    <col min="9" max="9" width="22.140625" customWidth="1"/>
    <col min="10" max="10" width="45.28515625" customWidth="1"/>
  </cols>
  <sheetData>
    <row r="2" spans="2:2" ht="21">
      <c r="B2" s="11" t="s">
        <v>64</v>
      </c>
    </row>
    <row r="22" spans="2:5" ht="15.75" thickBot="1"/>
    <row r="23" spans="2:5" ht="30" customHeight="1" thickBot="1">
      <c r="B23" s="272" t="s">
        <v>555</v>
      </c>
      <c r="C23" s="273"/>
      <c r="D23" s="274" t="s">
        <v>65</v>
      </c>
      <c r="E23" s="275"/>
    </row>
    <row r="24" spans="2:5" ht="16.5" thickTop="1" thickBot="1">
      <c r="B24" s="26" t="s">
        <v>66</v>
      </c>
      <c r="C24" s="27" t="s">
        <v>244</v>
      </c>
      <c r="D24" s="28" t="s">
        <v>66</v>
      </c>
      <c r="E24" s="28" t="s">
        <v>244</v>
      </c>
    </row>
    <row r="25" spans="2:5" ht="15.75" thickBot="1">
      <c r="B25" s="29" t="s">
        <v>68</v>
      </c>
      <c r="C25" s="30">
        <v>3.3780000000000001</v>
      </c>
      <c r="D25" s="31" t="s">
        <v>68</v>
      </c>
      <c r="E25" s="31">
        <v>0.83299999999999996</v>
      </c>
    </row>
    <row r="26" spans="2:5" ht="15.75" thickBot="1">
      <c r="B26" s="26" t="s">
        <v>70</v>
      </c>
      <c r="C26" s="27">
        <v>1.772</v>
      </c>
      <c r="D26" s="28" t="s">
        <v>70</v>
      </c>
      <c r="E26" s="28">
        <v>1.982</v>
      </c>
    </row>
    <row r="27" spans="2:5" ht="15.75" thickBot="1">
      <c r="B27" s="276" t="s">
        <v>72</v>
      </c>
      <c r="C27" s="279">
        <v>0.248</v>
      </c>
      <c r="D27" s="31" t="s">
        <v>72</v>
      </c>
      <c r="E27" s="31">
        <v>0.23499999999999999</v>
      </c>
    </row>
    <row r="28" spans="2:5" ht="15.75" thickBot="1">
      <c r="B28" s="277"/>
      <c r="C28" s="280"/>
      <c r="D28" s="28" t="s">
        <v>74</v>
      </c>
      <c r="E28" s="28">
        <v>0.22900000000000001</v>
      </c>
    </row>
    <row r="29" spans="2:5" ht="15.75" thickBot="1">
      <c r="B29" s="277"/>
      <c r="C29" s="280"/>
      <c r="D29" s="31" t="s">
        <v>75</v>
      </c>
      <c r="E29" s="31">
        <v>0.98099999999999998</v>
      </c>
    </row>
    <row r="30" spans="2:5" ht="15.75" thickBot="1">
      <c r="B30" s="278"/>
      <c r="C30" s="281"/>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75" thickBot="1">
      <c r="E34">
        <f>(E28+E29+E30)/E31</f>
        <v>0.41469967376703132</v>
      </c>
    </row>
    <row r="35" spans="2:13">
      <c r="B35" s="282" t="s">
        <v>185</v>
      </c>
      <c r="C35" s="283"/>
      <c r="D35" s="283"/>
      <c r="E35" s="283"/>
      <c r="F35" s="283"/>
      <c r="G35" s="283"/>
      <c r="H35" s="283"/>
      <c r="I35" s="283"/>
      <c r="J35" s="283"/>
      <c r="K35" s="283"/>
      <c r="L35" s="283"/>
      <c r="M35" s="284"/>
    </row>
    <row r="36" spans="2:13">
      <c r="B36" t="s">
        <v>526</v>
      </c>
    </row>
    <row r="37" spans="2:13" ht="15.75" thickBot="1"/>
    <row r="38" spans="2:13" ht="18.75" thickBot="1">
      <c r="B38" s="33" t="s">
        <v>77</v>
      </c>
      <c r="C38" s="32" t="s">
        <v>78</v>
      </c>
    </row>
    <row r="40" spans="2:13">
      <c r="B40" s="38" t="s">
        <v>79</v>
      </c>
      <c r="C40" s="285" t="s">
        <v>80</v>
      </c>
      <c r="D40" s="285"/>
      <c r="E40" s="285"/>
      <c r="F40" s="285"/>
      <c r="G40" s="285"/>
      <c r="H40" s="285"/>
      <c r="I40" s="285"/>
      <c r="J40" s="285"/>
      <c r="K40" s="285"/>
      <c r="L40" s="285"/>
      <c r="M40" s="285"/>
    </row>
    <row r="41" spans="2:13" ht="18">
      <c r="B41" s="34" t="s">
        <v>82</v>
      </c>
      <c r="C41" s="271" t="str">
        <f xml:space="preserve"> 'Case Study 2'!B170</f>
        <v>LCI:  Erec = 0 (as only primary materialsl and no secondary material is used for the conventional concrete product)</v>
      </c>
      <c r="D41" s="271"/>
      <c r="E41" s="271"/>
      <c r="F41" s="271"/>
      <c r="G41" s="271"/>
      <c r="H41" s="271"/>
      <c r="I41" s="271"/>
      <c r="J41" s="271"/>
      <c r="K41" s="271"/>
      <c r="L41" s="271"/>
      <c r="M41" s="271"/>
    </row>
    <row r="42" spans="2:13" ht="264" customHeight="1">
      <c r="B42" s="35" t="s">
        <v>83</v>
      </c>
      <c r="C42" s="264" t="s">
        <v>84</v>
      </c>
      <c r="D42" s="264"/>
      <c r="E42" s="264"/>
      <c r="F42" s="264"/>
      <c r="G42" s="264"/>
      <c r="H42" s="264"/>
      <c r="I42" s="264"/>
      <c r="J42" s="264"/>
      <c r="K42" s="264"/>
      <c r="L42" s="264"/>
      <c r="M42" s="264"/>
    </row>
    <row r="43" spans="2:13" ht="83.25" customHeight="1">
      <c r="B43" s="37" t="s">
        <v>85</v>
      </c>
      <c r="C43" s="264" t="s">
        <v>86</v>
      </c>
      <c r="D43" s="286"/>
      <c r="E43" s="286"/>
      <c r="F43" s="286"/>
      <c r="G43" s="286"/>
      <c r="H43" s="286"/>
      <c r="I43" s="286"/>
      <c r="J43" s="286"/>
      <c r="K43" s="286"/>
      <c r="L43" s="286"/>
      <c r="M43" s="286"/>
    </row>
    <row r="45" spans="2:13">
      <c r="B45" s="38" t="s">
        <v>91</v>
      </c>
    </row>
    <row r="47" spans="2:13">
      <c r="B47" s="265" t="s">
        <v>96</v>
      </c>
      <c r="C47" s="266"/>
      <c r="D47" s="41" t="s">
        <v>97</v>
      </c>
      <c r="E47" s="267" t="s">
        <v>87</v>
      </c>
      <c r="F47" s="267"/>
      <c r="G47" s="49"/>
      <c r="H47" s="49"/>
    </row>
    <row r="48" spans="2:13" ht="53.25" customHeight="1">
      <c r="B48" s="224"/>
      <c r="C48" s="253"/>
      <c r="D48" s="34">
        <v>0.10125000000000001</v>
      </c>
      <c r="E48" s="264" t="s">
        <v>88</v>
      </c>
      <c r="F48" s="264"/>
      <c r="G48" s="24"/>
      <c r="H48" s="24"/>
    </row>
    <row r="49" spans="2:8" ht="54" customHeight="1">
      <c r="B49" s="224"/>
      <c r="C49" s="253"/>
      <c r="D49" s="34">
        <v>0.15079000000000001</v>
      </c>
      <c r="E49" s="264" t="s">
        <v>89</v>
      </c>
      <c r="F49" s="271"/>
      <c r="G49" s="48"/>
      <c r="H49" s="48"/>
    </row>
    <row r="50" spans="2:8">
      <c r="B50" s="254" t="s">
        <v>90</v>
      </c>
      <c r="C50" s="255"/>
      <c r="D50" s="39">
        <v>0.126</v>
      </c>
      <c r="E50" s="223"/>
      <c r="F50" s="223"/>
      <c r="G50" s="25"/>
      <c r="H50" s="25"/>
    </row>
    <row r="52" spans="2:8">
      <c r="B52" s="265" t="s">
        <v>92</v>
      </c>
      <c r="C52" s="266"/>
      <c r="D52" s="40" t="s">
        <v>93</v>
      </c>
      <c r="E52" s="267" t="s">
        <v>87</v>
      </c>
      <c r="F52" s="267"/>
      <c r="G52" s="49"/>
      <c r="H52" s="49"/>
    </row>
    <row r="53" spans="2:8" ht="54.75" customHeight="1">
      <c r="B53" s="224"/>
      <c r="C53" s="253"/>
      <c r="D53" s="34">
        <v>1.44</v>
      </c>
      <c r="E53" s="264" t="s">
        <v>94</v>
      </c>
      <c r="F53" s="264"/>
      <c r="G53" s="24"/>
      <c r="H53" s="24"/>
    </row>
    <row r="54" spans="2:8" ht="49.5" customHeight="1">
      <c r="B54" s="224"/>
      <c r="C54" s="253"/>
      <c r="D54" s="34">
        <v>2.88</v>
      </c>
      <c r="E54" s="264" t="s">
        <v>95</v>
      </c>
      <c r="F54" s="271"/>
      <c r="G54" s="48"/>
      <c r="H54" s="48"/>
    </row>
    <row r="55" spans="2:8">
      <c r="B55" s="254" t="s">
        <v>90</v>
      </c>
      <c r="C55" s="255"/>
      <c r="D55" s="39">
        <v>2.16</v>
      </c>
      <c r="E55" s="223"/>
      <c r="F55" s="223"/>
      <c r="G55" s="25"/>
      <c r="H55" s="25"/>
    </row>
    <row r="57" spans="2:8">
      <c r="B57" s="265" t="s">
        <v>98</v>
      </c>
      <c r="C57" s="266"/>
      <c r="D57" s="40" t="s">
        <v>99</v>
      </c>
      <c r="E57" s="267" t="s">
        <v>87</v>
      </c>
      <c r="F57" s="267"/>
      <c r="G57" s="49"/>
      <c r="H57" s="49"/>
    </row>
    <row r="58" spans="2:8" ht="50.25" customHeight="1">
      <c r="B58" s="224"/>
      <c r="C58" s="253"/>
      <c r="D58" s="34">
        <v>11.7</v>
      </c>
      <c r="E58" s="264" t="s">
        <v>100</v>
      </c>
      <c r="F58" s="264"/>
      <c r="G58" s="24"/>
      <c r="H58" s="24"/>
    </row>
    <row r="59" spans="2:8" ht="50.25" customHeight="1">
      <c r="B59" s="224"/>
      <c r="C59" s="253"/>
      <c r="D59" s="34">
        <v>19.7</v>
      </c>
      <c r="E59" s="264" t="s">
        <v>100</v>
      </c>
      <c r="F59" s="271"/>
      <c r="G59" s="48"/>
      <c r="H59" s="48"/>
    </row>
    <row r="60" spans="2:8">
      <c r="B60" s="254" t="s">
        <v>90</v>
      </c>
      <c r="C60" s="255"/>
      <c r="D60" s="39">
        <v>15.7</v>
      </c>
      <c r="E60" s="223"/>
      <c r="F60" s="223"/>
      <c r="G60" s="25"/>
      <c r="H60" s="25"/>
    </row>
    <row r="63" spans="2:8">
      <c r="B63" s="262" t="s">
        <v>101</v>
      </c>
      <c r="C63" s="262"/>
      <c r="D63" s="262"/>
      <c r="E63" s="262"/>
    </row>
    <row r="64" spans="2:8">
      <c r="B64" s="42" t="s">
        <v>66</v>
      </c>
      <c r="C64" s="42" t="s">
        <v>67</v>
      </c>
      <c r="D64" s="42" t="s">
        <v>87</v>
      </c>
      <c r="E64" s="42" t="s">
        <v>102</v>
      </c>
    </row>
    <row r="65" spans="2:5" ht="30">
      <c r="B65" s="59" t="s">
        <v>103</v>
      </c>
      <c r="C65" s="55" t="s">
        <v>217</v>
      </c>
      <c r="D65" s="59" t="s">
        <v>107</v>
      </c>
      <c r="E65" s="55" t="s">
        <v>104</v>
      </c>
    </row>
    <row r="66" spans="2:5" ht="30">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30">
      <c r="B70" s="59" t="s">
        <v>117</v>
      </c>
      <c r="C70" s="55" t="s">
        <v>222</v>
      </c>
      <c r="D70" s="59" t="s">
        <v>118</v>
      </c>
      <c r="E70" s="59" t="s">
        <v>104</v>
      </c>
    </row>
    <row r="71" spans="2:5" ht="30">
      <c r="B71" s="59" t="s">
        <v>119</v>
      </c>
      <c r="C71" s="55" t="s">
        <v>223</v>
      </c>
      <c r="D71" s="59" t="s">
        <v>120</v>
      </c>
      <c r="E71" s="59" t="s">
        <v>106</v>
      </c>
    </row>
    <row r="72" spans="2:5">
      <c r="B72" s="59" t="s">
        <v>121</v>
      </c>
      <c r="C72" s="55" t="s">
        <v>224</v>
      </c>
      <c r="D72" s="59" t="s">
        <v>214</v>
      </c>
      <c r="E72" s="55" t="s">
        <v>110</v>
      </c>
    </row>
    <row r="73" spans="2:5" ht="45">
      <c r="B73" s="55" t="s">
        <v>111</v>
      </c>
      <c r="C73" s="55" t="s">
        <v>225</v>
      </c>
      <c r="D73" s="59" t="s">
        <v>122</v>
      </c>
      <c r="E73" s="59" t="s">
        <v>113</v>
      </c>
    </row>
    <row r="74" spans="2:5">
      <c r="B74" s="58" t="s">
        <v>114</v>
      </c>
      <c r="C74" s="58" t="s">
        <v>226</v>
      </c>
      <c r="D74" s="58" t="s">
        <v>115</v>
      </c>
      <c r="E74" s="55" t="s">
        <v>116</v>
      </c>
    </row>
    <row r="75" spans="2:5">
      <c r="B75" s="268" t="s">
        <v>123</v>
      </c>
      <c r="C75" s="268"/>
      <c r="D75" s="268"/>
      <c r="E75" s="268"/>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62" t="s">
        <v>101</v>
      </c>
      <c r="C81" s="262"/>
      <c r="D81" s="262"/>
      <c r="E81" s="262"/>
    </row>
    <row r="82" spans="2:5">
      <c r="B82" s="42" t="s">
        <v>66</v>
      </c>
      <c r="C82" s="42" t="s">
        <v>67</v>
      </c>
      <c r="D82" s="42" t="s">
        <v>87</v>
      </c>
      <c r="E82" s="42" t="s">
        <v>102</v>
      </c>
    </row>
    <row r="83" spans="2:5" ht="30">
      <c r="B83" s="59" t="s">
        <v>129</v>
      </c>
      <c r="C83" s="55" t="s">
        <v>228</v>
      </c>
      <c r="D83" s="59" t="s">
        <v>133</v>
      </c>
      <c r="E83" s="59" t="s">
        <v>104</v>
      </c>
    </row>
    <row r="84" spans="2:5" ht="30">
      <c r="B84" s="59" t="s">
        <v>130</v>
      </c>
      <c r="C84" s="55" t="s">
        <v>229</v>
      </c>
      <c r="D84" s="59" t="s">
        <v>132</v>
      </c>
      <c r="E84" s="59" t="s">
        <v>106</v>
      </c>
    </row>
    <row r="85" spans="2:5">
      <c r="B85" s="59" t="s">
        <v>131</v>
      </c>
      <c r="C85" s="55" t="s">
        <v>230</v>
      </c>
      <c r="D85" s="59" t="s">
        <v>236</v>
      </c>
      <c r="E85" s="55" t="s">
        <v>110</v>
      </c>
    </row>
    <row r="86" spans="2:5" ht="75">
      <c r="B86" s="55" t="s">
        <v>134</v>
      </c>
      <c r="C86" s="55" t="s">
        <v>231</v>
      </c>
      <c r="D86" s="59" t="s">
        <v>135</v>
      </c>
      <c r="E86" s="59" t="s">
        <v>136</v>
      </c>
    </row>
    <row r="87" spans="2:5" ht="75">
      <c r="B87" s="55" t="s">
        <v>140</v>
      </c>
      <c r="C87" s="55" t="s">
        <v>232</v>
      </c>
      <c r="D87" s="59" t="s">
        <v>141</v>
      </c>
      <c r="E87" s="59" t="s">
        <v>142</v>
      </c>
    </row>
    <row r="88" spans="2:5" ht="75">
      <c r="B88" s="55" t="s">
        <v>143</v>
      </c>
      <c r="C88" s="55" t="s">
        <v>233</v>
      </c>
      <c r="D88" s="59" t="s">
        <v>144</v>
      </c>
      <c r="E88" s="59" t="s">
        <v>145</v>
      </c>
    </row>
    <row r="89" spans="2:5" ht="75">
      <c r="B89" s="55" t="s">
        <v>114</v>
      </c>
      <c r="C89" s="55" t="s">
        <v>234</v>
      </c>
      <c r="D89" s="59" t="s">
        <v>146</v>
      </c>
      <c r="E89" s="59" t="s">
        <v>116</v>
      </c>
    </row>
    <row r="90" spans="2:5">
      <c r="B90" s="58" t="s">
        <v>137</v>
      </c>
      <c r="C90" s="58" t="s">
        <v>235</v>
      </c>
      <c r="D90" s="58" t="s">
        <v>138</v>
      </c>
      <c r="E90" s="55" t="s">
        <v>139</v>
      </c>
    </row>
    <row r="91" spans="2:5">
      <c r="B91" s="268" t="s">
        <v>123</v>
      </c>
      <c r="C91" s="268"/>
      <c r="D91" s="268"/>
      <c r="E91" s="268"/>
    </row>
    <row r="92" spans="2:5">
      <c r="B92" s="58" t="s">
        <v>147</v>
      </c>
      <c r="C92" s="55" t="s">
        <v>228</v>
      </c>
      <c r="D92" s="58" t="s">
        <v>125</v>
      </c>
      <c r="E92" s="58"/>
    </row>
    <row r="93" spans="2:5">
      <c r="B93" s="58" t="s">
        <v>148</v>
      </c>
      <c r="C93" s="55" t="s">
        <v>229</v>
      </c>
      <c r="D93" s="58" t="s">
        <v>125</v>
      </c>
      <c r="E93" s="58"/>
    </row>
    <row r="96" spans="2:5">
      <c r="B96" s="38" t="s">
        <v>161</v>
      </c>
    </row>
    <row r="98" spans="2:5">
      <c r="B98" s="262" t="s">
        <v>101</v>
      </c>
      <c r="C98" s="262"/>
      <c r="D98" s="262"/>
      <c r="E98" s="262"/>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63" t="s">
        <v>123</v>
      </c>
      <c r="C102" s="263"/>
      <c r="D102" s="263"/>
      <c r="E102" s="263"/>
    </row>
    <row r="103" spans="2:5">
      <c r="B103" s="1" t="s">
        <v>156</v>
      </c>
      <c r="C103" s="43" t="s">
        <v>69</v>
      </c>
      <c r="D103" s="1"/>
      <c r="E103" s="1"/>
    </row>
    <row r="104" spans="2:5">
      <c r="B104" s="1" t="s">
        <v>155</v>
      </c>
      <c r="C104" s="43" t="s">
        <v>71</v>
      </c>
      <c r="D104" s="1"/>
      <c r="E104" s="1"/>
    </row>
    <row r="106" spans="2:5">
      <c r="B106" s="262" t="s">
        <v>101</v>
      </c>
      <c r="C106" s="262"/>
      <c r="D106" s="262"/>
      <c r="E106" s="262"/>
    </row>
    <row r="107" spans="2:5">
      <c r="B107" s="42" t="s">
        <v>66</v>
      </c>
      <c r="C107" s="42" t="s">
        <v>67</v>
      </c>
      <c r="D107" s="42" t="s">
        <v>87</v>
      </c>
      <c r="E107" s="42" t="s">
        <v>102</v>
      </c>
    </row>
    <row r="108" spans="2:5">
      <c r="B108" s="36" t="s">
        <v>157</v>
      </c>
      <c r="C108" s="34" t="s">
        <v>160</v>
      </c>
      <c r="D108" s="36" t="s">
        <v>154</v>
      </c>
      <c r="E108" s="34" t="s">
        <v>159</v>
      </c>
    </row>
    <row r="109" spans="2:5">
      <c r="B109" s="263" t="s">
        <v>123</v>
      </c>
      <c r="C109" s="263"/>
      <c r="D109" s="263"/>
      <c r="E109" s="263"/>
    </row>
    <row r="110" spans="2:5">
      <c r="B110" s="1" t="s">
        <v>158</v>
      </c>
      <c r="C110" s="43" t="s">
        <v>73</v>
      </c>
      <c r="D110" s="1"/>
      <c r="E110" s="1"/>
    </row>
    <row r="113" spans="2:5">
      <c r="B113" s="38" t="s">
        <v>176</v>
      </c>
    </row>
    <row r="115" spans="2:5">
      <c r="B115" s="287" t="s">
        <v>216</v>
      </c>
      <c r="C115" s="262"/>
      <c r="D115" s="262"/>
      <c r="E115" s="262"/>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87" t="s">
        <v>215</v>
      </c>
      <c r="C130" s="262"/>
      <c r="D130" s="262"/>
      <c r="E130" s="262"/>
    </row>
    <row r="131" spans="2:5">
      <c r="B131" s="1" t="s">
        <v>162</v>
      </c>
      <c r="C131" s="58" t="s">
        <v>81</v>
      </c>
      <c r="D131" s="58" t="s">
        <v>175</v>
      </c>
      <c r="E131" s="1" t="s">
        <v>177</v>
      </c>
    </row>
    <row r="132" spans="2:5">
      <c r="B132" s="1" t="s">
        <v>163</v>
      </c>
      <c r="C132" s="56">
        <v>3.2300000000000002E-7</v>
      </c>
      <c r="D132" s="57">
        <v>1.09E-10</v>
      </c>
      <c r="E132" s="44">
        <v>1.1700000000000001E-8</v>
      </c>
    </row>
    <row r="133" spans="2:5">
      <c r="B133" s="1" t="s">
        <v>164</v>
      </c>
      <c r="C133" s="56">
        <v>4.24</v>
      </c>
      <c r="D133" s="57">
        <v>8.2400000000000008E-3</v>
      </c>
      <c r="E133" s="44">
        <v>7.3</v>
      </c>
    </row>
    <row r="134" spans="2:5">
      <c r="B134" s="1" t="s">
        <v>165</v>
      </c>
      <c r="C134" s="56">
        <v>6.11E-4</v>
      </c>
      <c r="D134" s="57">
        <v>1.5400000000000001E-6</v>
      </c>
      <c r="E134" s="44">
        <v>1.74E-3</v>
      </c>
    </row>
    <row r="135" spans="2:5">
      <c r="B135" s="1" t="s">
        <v>166</v>
      </c>
      <c r="C135" s="56">
        <v>1.17E-4</v>
      </c>
      <c r="D135" s="57">
        <v>1.6500000000000001E-7</v>
      </c>
      <c r="E135" s="44">
        <v>1.73E-4</v>
      </c>
    </row>
    <row r="136" spans="2:5">
      <c r="B136" s="1" t="s">
        <v>167</v>
      </c>
      <c r="C136" s="56">
        <v>8.1400000000000005E-4</v>
      </c>
      <c r="D136" s="57">
        <v>1.37E-6</v>
      </c>
      <c r="E136" s="44">
        <v>1.0300000000000001E-3</v>
      </c>
    </row>
    <row r="137" spans="2:5">
      <c r="B137" s="1" t="s">
        <v>168</v>
      </c>
      <c r="C137" s="56">
        <v>0.42699999999999999</v>
      </c>
      <c r="D137" s="57">
        <v>5.6899999999999995E-4</v>
      </c>
      <c r="E137" s="44">
        <v>0.81599999999999995</v>
      </c>
    </row>
    <row r="138" spans="2:5">
      <c r="B138" s="1" t="s">
        <v>169</v>
      </c>
      <c r="C138" s="56">
        <v>0.42699999999999999</v>
      </c>
      <c r="D138" s="57">
        <v>5.7600000000000001E-4</v>
      </c>
      <c r="E138" s="44">
        <v>0.81599999999999995</v>
      </c>
    </row>
    <row r="139" spans="2:5">
      <c r="B139" s="1" t="s">
        <v>170</v>
      </c>
      <c r="C139" s="56">
        <v>1.67E-2</v>
      </c>
      <c r="D139" s="57">
        <v>1.66E-5</v>
      </c>
      <c r="E139" s="44">
        <v>7.5899999999999995E-2</v>
      </c>
    </row>
    <row r="140" spans="2:5">
      <c r="B140" s="1" t="s">
        <v>171</v>
      </c>
      <c r="C140" s="56">
        <v>50.2</v>
      </c>
      <c r="D140" s="57">
        <v>5.2499999999999998E-2</v>
      </c>
      <c r="E140" s="44">
        <v>42.6</v>
      </c>
    </row>
    <row r="141" spans="2:5">
      <c r="B141" s="1" t="s">
        <v>172</v>
      </c>
      <c r="C141" s="56">
        <v>1.6999999999999999E-11</v>
      </c>
      <c r="D141" s="57">
        <v>9.2700000000000007E-16</v>
      </c>
      <c r="E141" s="44">
        <v>6.8300000000000002E-13</v>
      </c>
    </row>
    <row r="142" spans="2:5">
      <c r="B142" s="1" t="s">
        <v>173</v>
      </c>
      <c r="C142" s="56">
        <v>4.0800000000000002E-5</v>
      </c>
      <c r="D142" s="57">
        <v>1.42E-7</v>
      </c>
      <c r="E142" s="44">
        <v>2.4399999999999999E-4</v>
      </c>
    </row>
    <row r="143" spans="2:5">
      <c r="B143" s="1" t="s">
        <v>174</v>
      </c>
      <c r="C143" s="56">
        <v>6.02E-4</v>
      </c>
      <c r="D143" s="57">
        <v>6.3300000000000004E-6</v>
      </c>
      <c r="E143" s="44">
        <v>5.9299999999999999E-4</v>
      </c>
    </row>
    <row r="145" spans="2:14" ht="15.75" thickBot="1"/>
    <row r="146" spans="2:14" ht="15.75" thickBot="1">
      <c r="B146" s="33" t="s">
        <v>178</v>
      </c>
      <c r="C146" s="32" t="s">
        <v>187</v>
      </c>
    </row>
    <row r="149" spans="2:14">
      <c r="B149" s="262" t="s">
        <v>188</v>
      </c>
      <c r="C149" s="262"/>
      <c r="D149" s="262"/>
      <c r="E149" s="262"/>
      <c r="F149" s="262"/>
      <c r="G149" s="262"/>
      <c r="H149" s="262"/>
      <c r="I149" s="262"/>
      <c r="J149" s="262"/>
      <c r="K149" s="47"/>
      <c r="L149" s="47"/>
      <c r="M149" s="47"/>
      <c r="N149" s="47"/>
    </row>
    <row r="150" spans="2:14">
      <c r="B150" s="42" t="s">
        <v>179</v>
      </c>
      <c r="C150" s="42" t="s">
        <v>33</v>
      </c>
      <c r="D150" s="42" t="s">
        <v>34</v>
      </c>
      <c r="E150" s="42" t="s">
        <v>35</v>
      </c>
      <c r="F150" s="42" t="s">
        <v>50</v>
      </c>
      <c r="G150" s="258" t="s">
        <v>556</v>
      </c>
      <c r="H150" s="259"/>
      <c r="I150" s="119" t="s">
        <v>189</v>
      </c>
      <c r="J150" s="42" t="s">
        <v>190</v>
      </c>
      <c r="K150" s="46"/>
      <c r="L150" s="46"/>
      <c r="M150" s="46"/>
      <c r="N150" s="46"/>
    </row>
    <row r="151" spans="2:14" ht="44.25" customHeight="1">
      <c r="B151" s="187" t="s">
        <v>2</v>
      </c>
      <c r="C151" s="187" t="s">
        <v>191</v>
      </c>
      <c r="D151" s="288"/>
      <c r="E151" s="291"/>
      <c r="F151" s="288"/>
      <c r="G151" s="122" t="s">
        <v>685</v>
      </c>
      <c r="H151" s="123" t="s">
        <v>686</v>
      </c>
      <c r="I151" s="294">
        <v>0.2</v>
      </c>
      <c r="J151" s="187" t="s">
        <v>557</v>
      </c>
    </row>
    <row r="152" spans="2:14" ht="72" customHeight="1">
      <c r="B152" s="261"/>
      <c r="C152" s="261"/>
      <c r="D152" s="289"/>
      <c r="E152" s="292"/>
      <c r="F152" s="289"/>
      <c r="G152" s="122" t="s">
        <v>634</v>
      </c>
      <c r="H152" s="123" t="s">
        <v>635</v>
      </c>
      <c r="I152" s="295"/>
      <c r="J152" s="261"/>
    </row>
    <row r="153" spans="2:14" ht="72" customHeight="1">
      <c r="B153" s="261"/>
      <c r="C153" s="261"/>
      <c r="D153" s="289"/>
      <c r="E153" s="292"/>
      <c r="F153" s="289"/>
      <c r="G153" s="122" t="s">
        <v>760</v>
      </c>
      <c r="H153" s="123" t="s">
        <v>761</v>
      </c>
      <c r="I153" s="295"/>
      <c r="J153" s="261"/>
    </row>
    <row r="154" spans="2:14" ht="67.5" customHeight="1">
      <c r="B154" s="188"/>
      <c r="C154" s="188"/>
      <c r="D154" s="290"/>
      <c r="E154" s="293"/>
      <c r="F154" s="290"/>
      <c r="G154" s="122" t="s">
        <v>637</v>
      </c>
      <c r="H154" s="123" t="s">
        <v>638</v>
      </c>
      <c r="I154" s="296"/>
      <c r="J154" s="188"/>
    </row>
    <row r="155" spans="2:14" ht="67.5" customHeight="1">
      <c r="B155" s="34" t="s">
        <v>180</v>
      </c>
      <c r="C155" s="36" t="s">
        <v>565</v>
      </c>
      <c r="D155" s="36" t="s">
        <v>199</v>
      </c>
      <c r="E155" s="36"/>
      <c r="F155" s="34"/>
      <c r="G155" s="52" t="s">
        <v>639</v>
      </c>
      <c r="H155" s="53" t="s">
        <v>640</v>
      </c>
      <c r="I155" s="120">
        <v>0</v>
      </c>
      <c r="J155" s="36" t="s">
        <v>192</v>
      </c>
      <c r="L155" t="s">
        <v>558</v>
      </c>
    </row>
    <row r="156" spans="2:14" ht="60">
      <c r="B156" s="138" t="s">
        <v>181</v>
      </c>
      <c r="C156" s="121" t="s">
        <v>566</v>
      </c>
      <c r="D156" s="121" t="s">
        <v>193</v>
      </c>
      <c r="E156" s="125"/>
      <c r="F156" s="124"/>
      <c r="G156" s="122" t="s">
        <v>763</v>
      </c>
      <c r="H156" s="126" t="s">
        <v>762</v>
      </c>
      <c r="I156" s="120" t="s">
        <v>764</v>
      </c>
      <c r="J156" s="121" t="s">
        <v>559</v>
      </c>
    </row>
    <row r="157" spans="2:14" ht="45" customHeight="1">
      <c r="B157" s="37" t="s">
        <v>182</v>
      </c>
      <c r="C157" s="36" t="s">
        <v>297</v>
      </c>
      <c r="D157" s="36" t="s">
        <v>549</v>
      </c>
      <c r="E157" s="36" t="s">
        <v>298</v>
      </c>
      <c r="F157" s="36" t="s">
        <v>299</v>
      </c>
      <c r="G157" s="36" t="s">
        <v>641</v>
      </c>
      <c r="H157" s="36" t="s">
        <v>642</v>
      </c>
      <c r="I157" s="120">
        <v>1</v>
      </c>
      <c r="J157" s="45" t="s">
        <v>643</v>
      </c>
    </row>
    <row r="158" spans="2:14" ht="174.75" customHeight="1">
      <c r="B158" s="34" t="s">
        <v>183</v>
      </c>
      <c r="C158" s="36" t="s">
        <v>297</v>
      </c>
      <c r="D158" s="36" t="s">
        <v>547</v>
      </c>
      <c r="E158" s="36" t="s">
        <v>298</v>
      </c>
      <c r="F158" s="36" t="s">
        <v>299</v>
      </c>
      <c r="G158" s="36" t="s">
        <v>689</v>
      </c>
      <c r="H158" s="36" t="s">
        <v>687</v>
      </c>
      <c r="I158" s="120" t="s">
        <v>688</v>
      </c>
      <c r="J158" s="45" t="s">
        <v>560</v>
      </c>
    </row>
    <row r="159" spans="2:14" ht="90">
      <c r="B159" s="34" t="s">
        <v>184</v>
      </c>
      <c r="C159" s="36" t="s">
        <v>297</v>
      </c>
      <c r="D159" s="36" t="s">
        <v>548</v>
      </c>
      <c r="E159" s="36" t="s">
        <v>298</v>
      </c>
      <c r="F159" s="36" t="s">
        <v>299</v>
      </c>
      <c r="G159" s="36" t="s">
        <v>765</v>
      </c>
      <c r="H159" s="36" t="s">
        <v>766</v>
      </c>
      <c r="I159" s="120" t="s">
        <v>767</v>
      </c>
      <c r="J159" s="45" t="s">
        <v>644</v>
      </c>
    </row>
    <row r="162" spans="2:13">
      <c r="B162" s="262" t="s">
        <v>198</v>
      </c>
      <c r="C162" s="262"/>
      <c r="D162" s="262"/>
      <c r="E162" s="262"/>
      <c r="F162" s="262"/>
      <c r="G162" s="262"/>
      <c r="H162" s="262"/>
      <c r="I162" s="262"/>
      <c r="J162" s="262"/>
    </row>
    <row r="163" spans="2:13">
      <c r="B163" s="42" t="s">
        <v>179</v>
      </c>
      <c r="C163" s="42" t="s">
        <v>33</v>
      </c>
      <c r="D163" s="42" t="s">
        <v>34</v>
      </c>
      <c r="E163" s="42" t="s">
        <v>35</v>
      </c>
      <c r="F163" s="42" t="s">
        <v>50</v>
      </c>
      <c r="G163" s="258" t="s">
        <v>196</v>
      </c>
      <c r="H163" s="259"/>
      <c r="I163" s="119" t="s">
        <v>189</v>
      </c>
      <c r="J163" s="42" t="s">
        <v>190</v>
      </c>
    </row>
    <row r="164" spans="2:13" ht="79.5" customHeight="1">
      <c r="B164" s="256" t="s">
        <v>2</v>
      </c>
      <c r="C164" s="187" t="s">
        <v>194</v>
      </c>
      <c r="D164" s="187" t="s">
        <v>195</v>
      </c>
      <c r="E164" s="256"/>
      <c r="F164" s="187"/>
      <c r="G164" s="145" t="s">
        <v>690</v>
      </c>
      <c r="H164" s="123" t="s">
        <v>645</v>
      </c>
      <c r="I164" s="294">
        <v>0.2</v>
      </c>
      <c r="J164" s="187" t="s">
        <v>197</v>
      </c>
    </row>
    <row r="165" spans="2:13" ht="31.5" customHeight="1">
      <c r="B165" s="260"/>
      <c r="C165" s="261"/>
      <c r="D165" s="261"/>
      <c r="E165" s="260"/>
      <c r="F165" s="261"/>
      <c r="G165" s="144" t="s">
        <v>646</v>
      </c>
      <c r="H165" s="146" t="s">
        <v>636</v>
      </c>
      <c r="I165" s="295"/>
      <c r="J165" s="261"/>
    </row>
    <row r="166" spans="2:13" ht="45.75" customHeight="1">
      <c r="B166" s="257"/>
      <c r="C166" s="188"/>
      <c r="D166" s="188"/>
      <c r="E166" s="257"/>
      <c r="F166" s="188"/>
      <c r="G166" s="144" t="s">
        <v>691</v>
      </c>
      <c r="H166" s="146" t="s">
        <v>692</v>
      </c>
      <c r="I166" s="296"/>
      <c r="J166" s="188"/>
    </row>
    <row r="167" spans="2:13" ht="67.5" customHeight="1">
      <c r="B167" s="34" t="s">
        <v>180</v>
      </c>
      <c r="C167" s="36" t="s">
        <v>567</v>
      </c>
      <c r="D167" s="36" t="s">
        <v>200</v>
      </c>
      <c r="E167" s="36"/>
      <c r="F167" s="34"/>
      <c r="G167" s="52" t="s">
        <v>647</v>
      </c>
      <c r="H167" s="53" t="s">
        <v>648</v>
      </c>
      <c r="I167" s="120">
        <v>0</v>
      </c>
      <c r="J167" s="36" t="s">
        <v>201</v>
      </c>
    </row>
    <row r="168" spans="2:13" ht="99.75" customHeight="1">
      <c r="B168" s="256" t="s">
        <v>181</v>
      </c>
      <c r="C168" s="187" t="s">
        <v>566</v>
      </c>
      <c r="D168" s="187" t="s">
        <v>202</v>
      </c>
      <c r="E168" s="187" t="s">
        <v>649</v>
      </c>
      <c r="F168" s="187"/>
      <c r="G168" s="145" t="s">
        <v>769</v>
      </c>
      <c r="H168" s="123" t="s">
        <v>770</v>
      </c>
      <c r="I168" s="120" t="s">
        <v>772</v>
      </c>
      <c r="J168" s="187" t="s">
        <v>203</v>
      </c>
    </row>
    <row r="169" spans="2:13" ht="61.5" customHeight="1">
      <c r="B169" s="257"/>
      <c r="C169" s="188"/>
      <c r="D169" s="188"/>
      <c r="E169" s="188"/>
      <c r="F169" s="188"/>
      <c r="G169" s="144" t="s">
        <v>768</v>
      </c>
      <c r="H169" s="146" t="s">
        <v>771</v>
      </c>
      <c r="I169" s="120"/>
      <c r="J169" s="188"/>
    </row>
    <row r="170" spans="2:13" ht="107.25" customHeight="1">
      <c r="B170" s="34" t="s">
        <v>182</v>
      </c>
      <c r="C170" s="36" t="s">
        <v>297</v>
      </c>
      <c r="D170" s="36" t="s">
        <v>549</v>
      </c>
      <c r="E170" s="36" t="s">
        <v>298</v>
      </c>
      <c r="F170" s="36" t="s">
        <v>299</v>
      </c>
      <c r="G170" s="36" t="s">
        <v>693</v>
      </c>
      <c r="H170" s="36" t="s">
        <v>694</v>
      </c>
      <c r="I170" s="120">
        <v>1</v>
      </c>
      <c r="J170" s="45" t="s">
        <v>608</v>
      </c>
    </row>
    <row r="171" spans="2:13" ht="213.75" customHeight="1">
      <c r="B171" s="34" t="s">
        <v>183</v>
      </c>
      <c r="C171" s="36" t="s">
        <v>297</v>
      </c>
      <c r="D171" s="36" t="s">
        <v>547</v>
      </c>
      <c r="E171" s="36" t="s">
        <v>298</v>
      </c>
      <c r="F171" s="36" t="s">
        <v>299</v>
      </c>
      <c r="G171" s="36" t="s">
        <v>773</v>
      </c>
      <c r="H171" s="36" t="s">
        <v>774</v>
      </c>
      <c r="I171" s="120" t="s">
        <v>614</v>
      </c>
      <c r="J171" s="45" t="s">
        <v>561</v>
      </c>
    </row>
    <row r="172" spans="2:13" ht="183" customHeight="1">
      <c r="B172" s="34" t="s">
        <v>184</v>
      </c>
      <c r="C172" s="36" t="s">
        <v>297</v>
      </c>
      <c r="D172" s="36" t="s">
        <v>548</v>
      </c>
      <c r="E172" s="36" t="s">
        <v>298</v>
      </c>
      <c r="F172" s="36" t="s">
        <v>299</v>
      </c>
      <c r="G172" s="36" t="s">
        <v>775</v>
      </c>
      <c r="H172" s="36" t="s">
        <v>776</v>
      </c>
      <c r="I172" s="120" t="s">
        <v>777</v>
      </c>
      <c r="J172" s="45" t="s">
        <v>561</v>
      </c>
    </row>
    <row r="173" spans="2:13" ht="15.75" thickBot="1"/>
    <row r="174" spans="2:13">
      <c r="B174" s="282" t="s">
        <v>432</v>
      </c>
      <c r="C174" s="283"/>
      <c r="D174" s="283"/>
      <c r="E174" s="283"/>
      <c r="F174" s="283"/>
      <c r="G174" s="283"/>
      <c r="H174" s="283"/>
      <c r="I174" s="283"/>
      <c r="J174" s="283"/>
      <c r="K174" s="283"/>
      <c r="L174" s="283"/>
      <c r="M174" s="284"/>
    </row>
    <row r="175" spans="2:13">
      <c r="B175" t="s">
        <v>527</v>
      </c>
    </row>
    <row r="176" spans="2:13" ht="15.75" thickBot="1"/>
    <row r="177" spans="2:5" ht="18.75" thickBot="1">
      <c r="B177" s="33" t="s">
        <v>77</v>
      </c>
      <c r="C177" s="32" t="s">
        <v>78</v>
      </c>
    </row>
    <row r="179" spans="2:5">
      <c r="B179" s="38" t="s">
        <v>161</v>
      </c>
    </row>
    <row r="181" spans="2:5">
      <c r="B181" s="263" t="s">
        <v>101</v>
      </c>
      <c r="C181" s="263"/>
      <c r="D181" s="263"/>
      <c r="E181" s="263"/>
    </row>
    <row r="182" spans="2:5">
      <c r="B182" s="42" t="s">
        <v>66</v>
      </c>
      <c r="C182" s="42" t="s">
        <v>244</v>
      </c>
      <c r="D182" s="42" t="s">
        <v>87</v>
      </c>
      <c r="E182" s="42" t="s">
        <v>102</v>
      </c>
    </row>
    <row r="183" spans="2:5">
      <c r="B183" s="36" t="s">
        <v>152</v>
      </c>
      <c r="C183" s="34">
        <f>C186*1.2</f>
        <v>0.99959999999999993</v>
      </c>
      <c r="D183" s="36" t="s">
        <v>154</v>
      </c>
      <c r="E183" s="36" t="s">
        <v>150</v>
      </c>
    </row>
    <row r="184" spans="2:5">
      <c r="B184" s="36" t="s">
        <v>153</v>
      </c>
      <c r="C184" s="34">
        <f>C187*1.5</f>
        <v>2.9729999999999999</v>
      </c>
      <c r="D184" s="36" t="s">
        <v>154</v>
      </c>
      <c r="E184" s="34" t="s">
        <v>150</v>
      </c>
    </row>
    <row r="185" spans="2:5">
      <c r="B185" s="263" t="s">
        <v>123</v>
      </c>
      <c r="C185" s="263"/>
      <c r="D185" s="263"/>
      <c r="E185" s="263"/>
    </row>
    <row r="186" spans="2:5">
      <c r="B186" s="1" t="s">
        <v>156</v>
      </c>
      <c r="C186" s="43">
        <v>0.83299999999999996</v>
      </c>
      <c r="D186" s="1"/>
      <c r="E186" s="1"/>
    </row>
    <row r="187" spans="2:5">
      <c r="B187" s="1" t="s">
        <v>155</v>
      </c>
      <c r="C187" s="43">
        <v>1.982</v>
      </c>
      <c r="D187" s="1"/>
      <c r="E187" s="1"/>
    </row>
    <row r="189" spans="2:5">
      <c r="B189" s="263" t="s">
        <v>101</v>
      </c>
      <c r="C189" s="263"/>
      <c r="D189" s="263"/>
      <c r="E189" s="263"/>
    </row>
    <row r="190" spans="2:5">
      <c r="B190" s="42" t="s">
        <v>66</v>
      </c>
      <c r="C190" s="42" t="s">
        <v>244</v>
      </c>
      <c r="D190" s="42" t="s">
        <v>87</v>
      </c>
      <c r="E190" s="42" t="s">
        <v>102</v>
      </c>
    </row>
    <row r="191" spans="2:5">
      <c r="B191" s="36" t="s">
        <v>157</v>
      </c>
      <c r="C191" s="34">
        <f>C193*1.5</f>
        <v>0.35249999999999998</v>
      </c>
      <c r="D191" s="36" t="s">
        <v>154</v>
      </c>
      <c r="E191" s="34" t="s">
        <v>159</v>
      </c>
    </row>
    <row r="192" spans="2:5">
      <c r="B192" s="263" t="s">
        <v>123</v>
      </c>
      <c r="C192" s="263"/>
      <c r="D192" s="263"/>
      <c r="E192" s="263"/>
    </row>
    <row r="193" spans="2:6">
      <c r="B193" s="1" t="s">
        <v>158</v>
      </c>
      <c r="C193" s="43">
        <v>0.23499999999999999</v>
      </c>
      <c r="D193" s="1"/>
      <c r="E193" s="1"/>
    </row>
    <row r="195" spans="2:6">
      <c r="B195" s="263" t="s">
        <v>101</v>
      </c>
      <c r="C195" s="263"/>
      <c r="D195" s="263"/>
      <c r="E195" s="263"/>
    </row>
    <row r="196" spans="2:6">
      <c r="B196" s="42" t="s">
        <v>66</v>
      </c>
      <c r="C196" s="42" t="s">
        <v>244</v>
      </c>
      <c r="D196" s="42" t="s">
        <v>87</v>
      </c>
      <c r="E196" s="42" t="s">
        <v>102</v>
      </c>
    </row>
    <row r="197" spans="2:6" ht="45">
      <c r="B197" s="36" t="s">
        <v>435</v>
      </c>
      <c r="C197" s="34">
        <v>1.079</v>
      </c>
      <c r="D197" s="36" t="s">
        <v>437</v>
      </c>
      <c r="E197" s="117" t="s">
        <v>438</v>
      </c>
    </row>
    <row r="198" spans="2:6" ht="45">
      <c r="B198" s="36" t="s">
        <v>436</v>
      </c>
      <c r="C198" s="34">
        <v>1.2490000000000001</v>
      </c>
      <c r="D198" s="36" t="s">
        <v>437</v>
      </c>
      <c r="E198" s="34" t="s">
        <v>439</v>
      </c>
    </row>
    <row r="199" spans="2:6">
      <c r="B199" s="263" t="s">
        <v>123</v>
      </c>
      <c r="C199" s="263"/>
      <c r="D199" s="263"/>
      <c r="E199" s="263"/>
    </row>
    <row r="200" spans="2:6">
      <c r="B200" s="1" t="s">
        <v>433</v>
      </c>
      <c r="C200" s="43">
        <v>1.079</v>
      </c>
      <c r="D200" s="1"/>
      <c r="E200" s="1"/>
    </row>
    <row r="201" spans="2:6">
      <c r="B201" s="1" t="s">
        <v>434</v>
      </c>
      <c r="C201" s="43">
        <f>C198</f>
        <v>1.2490000000000001</v>
      </c>
      <c r="D201" s="1"/>
      <c r="E201" s="1"/>
    </row>
    <row r="203" spans="2:6">
      <c r="B203" s="38" t="s">
        <v>440</v>
      </c>
    </row>
    <row r="205" spans="2:6">
      <c r="B205" s="265" t="s">
        <v>441</v>
      </c>
      <c r="C205" s="266"/>
      <c r="D205" s="41" t="s">
        <v>442</v>
      </c>
      <c r="E205" s="267" t="s">
        <v>87</v>
      </c>
      <c r="F205" s="267"/>
    </row>
    <row r="206" spans="2:6">
      <c r="B206" s="224"/>
      <c r="C206" s="253"/>
      <c r="D206" s="34">
        <v>0.94199999999999995</v>
      </c>
      <c r="E206" s="264" t="s">
        <v>443</v>
      </c>
      <c r="F206" s="264"/>
    </row>
    <row r="207" spans="2:6" ht="32.25" customHeight="1">
      <c r="B207" s="224"/>
      <c r="C207" s="253"/>
      <c r="D207" s="34">
        <v>0.25</v>
      </c>
      <c r="E207" s="269" t="s">
        <v>444</v>
      </c>
      <c r="F207" s="270"/>
    </row>
    <row r="208" spans="2:6">
      <c r="B208" s="224"/>
      <c r="C208" s="253"/>
      <c r="D208" s="34">
        <v>0.09</v>
      </c>
      <c r="E208" s="269" t="s">
        <v>445</v>
      </c>
      <c r="F208" s="270"/>
    </row>
    <row r="209" spans="2:6" ht="18.75" customHeight="1">
      <c r="B209" s="224"/>
      <c r="C209" s="253"/>
      <c r="D209" s="34">
        <v>0.11700000000000001</v>
      </c>
      <c r="E209" s="269" t="s">
        <v>446</v>
      </c>
      <c r="F209" s="270"/>
    </row>
    <row r="210" spans="2:6" ht="49.5" customHeight="1">
      <c r="B210" s="224"/>
      <c r="C210" s="253"/>
      <c r="D210" s="34">
        <v>1.603E-3</v>
      </c>
      <c r="E210" s="269" t="s">
        <v>447</v>
      </c>
      <c r="F210" s="270"/>
    </row>
    <row r="211" spans="2:6" ht="57" customHeight="1">
      <c r="B211" s="224"/>
      <c r="C211" s="253"/>
      <c r="D211" s="34">
        <v>2.2680000000000001E-3</v>
      </c>
      <c r="E211" s="264" t="s">
        <v>447</v>
      </c>
      <c r="F211" s="271"/>
    </row>
    <row r="212" spans="2:6">
      <c r="B212" s="254" t="s">
        <v>90</v>
      </c>
      <c r="C212" s="255"/>
      <c r="D212" s="39">
        <v>0.23380000000000001</v>
      </c>
      <c r="E212" s="223"/>
      <c r="F212" s="223"/>
    </row>
    <row r="214" spans="2:6">
      <c r="B214" s="265" t="s">
        <v>448</v>
      </c>
      <c r="C214" s="266"/>
      <c r="D214" s="40" t="s">
        <v>449</v>
      </c>
      <c r="E214" s="267" t="s">
        <v>87</v>
      </c>
      <c r="F214" s="267"/>
    </row>
    <row r="215" spans="2:6" ht="51" customHeight="1">
      <c r="B215" s="224"/>
      <c r="C215" s="253"/>
      <c r="D215" s="34">
        <v>2.9499999999999998E-2</v>
      </c>
      <c r="E215" s="264" t="s">
        <v>450</v>
      </c>
      <c r="F215" s="264"/>
    </row>
    <row r="216" spans="2:6" ht="49.5" customHeight="1">
      <c r="B216" s="224"/>
      <c r="C216" s="253"/>
      <c r="D216" s="34">
        <v>3.5999999999999997E-2</v>
      </c>
      <c r="E216" s="264" t="s">
        <v>451</v>
      </c>
      <c r="F216" s="271"/>
    </row>
    <row r="217" spans="2:6">
      <c r="B217" s="254" t="s">
        <v>90</v>
      </c>
      <c r="C217" s="255"/>
      <c r="D217" s="39">
        <v>3.2750000000000001E-2</v>
      </c>
      <c r="E217" s="223"/>
      <c r="F217" s="223"/>
    </row>
    <row r="219" spans="2:6">
      <c r="B219" s="265" t="s">
        <v>452</v>
      </c>
      <c r="C219" s="266"/>
      <c r="D219" s="41" t="s">
        <v>453</v>
      </c>
      <c r="E219" s="267" t="s">
        <v>87</v>
      </c>
      <c r="F219" s="267"/>
    </row>
    <row r="220" spans="2:6">
      <c r="B220" s="224"/>
      <c r="C220" s="253"/>
      <c r="D220" s="34">
        <v>1.125E-2</v>
      </c>
      <c r="E220" s="264" t="s">
        <v>454</v>
      </c>
      <c r="F220" s="264"/>
    </row>
    <row r="221" spans="2:6" ht="31.5" customHeight="1">
      <c r="B221" s="224"/>
      <c r="C221" s="253"/>
      <c r="D221" s="34">
        <v>3.68</v>
      </c>
      <c r="E221" s="269" t="s">
        <v>455</v>
      </c>
      <c r="F221" s="270"/>
    </row>
    <row r="222" spans="2:6">
      <c r="B222" s="224"/>
      <c r="C222" s="253"/>
      <c r="D222" s="34">
        <v>4.2</v>
      </c>
      <c r="E222" s="269" t="s">
        <v>456</v>
      </c>
      <c r="F222" s="270"/>
    </row>
    <row r="223" spans="2:6">
      <c r="B223" s="224"/>
      <c r="C223" s="253"/>
      <c r="D223" s="34">
        <v>3.1248</v>
      </c>
      <c r="E223" s="269" t="s">
        <v>456</v>
      </c>
      <c r="F223" s="270"/>
    </row>
    <row r="224" spans="2:6">
      <c r="B224" s="224"/>
      <c r="C224" s="253"/>
      <c r="D224" s="34">
        <v>1.764</v>
      </c>
      <c r="E224" s="269" t="s">
        <v>456</v>
      </c>
      <c r="F224" s="270"/>
    </row>
    <row r="225" spans="2:6">
      <c r="B225" s="224"/>
      <c r="C225" s="253"/>
      <c r="D225" s="34">
        <v>1.3440000000000001</v>
      </c>
      <c r="E225" s="264" t="s">
        <v>457</v>
      </c>
      <c r="F225" s="271"/>
    </row>
    <row r="226" spans="2:6">
      <c r="B226" s="254"/>
      <c r="C226" s="255"/>
      <c r="D226" s="34">
        <v>1.1060000000000001</v>
      </c>
      <c r="E226" s="264" t="s">
        <v>457</v>
      </c>
      <c r="F226" s="271"/>
    </row>
    <row r="227" spans="2:6">
      <c r="B227" s="297"/>
      <c r="C227" s="298"/>
      <c r="D227" s="109">
        <v>0.88200000000000001</v>
      </c>
      <c r="E227" s="264" t="s">
        <v>457</v>
      </c>
      <c r="F227" s="271"/>
    </row>
    <row r="228" spans="2:6">
      <c r="B228" s="297"/>
      <c r="C228" s="298"/>
      <c r="D228" s="109">
        <v>0.74199999999999999</v>
      </c>
      <c r="E228" s="264" t="s">
        <v>457</v>
      </c>
      <c r="F228" s="271"/>
    </row>
    <row r="229" spans="2:6">
      <c r="B229" s="297"/>
      <c r="C229" s="298"/>
      <c r="D229" s="109">
        <v>0.66779999999999995</v>
      </c>
      <c r="E229" s="264" t="s">
        <v>457</v>
      </c>
      <c r="F229" s="271"/>
    </row>
    <row r="230" spans="2:6">
      <c r="B230" s="297"/>
      <c r="C230" s="298"/>
      <c r="D230" s="109">
        <v>0.71399999999999997</v>
      </c>
      <c r="E230" s="264" t="s">
        <v>457</v>
      </c>
      <c r="F230" s="271"/>
    </row>
    <row r="231" spans="2:6">
      <c r="B231" s="297"/>
      <c r="C231" s="298"/>
      <c r="D231" s="109">
        <v>0.81200000000000006</v>
      </c>
      <c r="E231" s="264" t="s">
        <v>457</v>
      </c>
      <c r="F231" s="271"/>
    </row>
    <row r="232" spans="2:6">
      <c r="B232" s="224"/>
      <c r="C232" s="253"/>
      <c r="D232" s="34">
        <v>0.80500000000000005</v>
      </c>
      <c r="E232" s="264" t="s">
        <v>457</v>
      </c>
      <c r="F232" s="271"/>
    </row>
    <row r="233" spans="2:6">
      <c r="B233" s="254" t="s">
        <v>90</v>
      </c>
      <c r="C233" s="255"/>
      <c r="D233" s="39">
        <v>1.5271399999999999</v>
      </c>
      <c r="E233" s="223"/>
      <c r="F233" s="223"/>
    </row>
    <row r="234" spans="2:6">
      <c r="B234" s="111"/>
      <c r="C234" s="111"/>
      <c r="D234" s="111"/>
      <c r="E234" s="25"/>
      <c r="F234" s="25"/>
    </row>
    <row r="235" spans="2:6">
      <c r="B235" s="265" t="s">
        <v>458</v>
      </c>
      <c r="C235" s="266"/>
      <c r="D235" s="41" t="s">
        <v>459</v>
      </c>
      <c r="E235" s="267" t="s">
        <v>87</v>
      </c>
      <c r="F235" s="267"/>
    </row>
    <row r="236" spans="2:6">
      <c r="B236" s="224"/>
      <c r="C236" s="253"/>
      <c r="D236" s="34">
        <v>5.0000000000000001E-3</v>
      </c>
      <c r="E236" s="264" t="s">
        <v>460</v>
      </c>
      <c r="F236" s="264"/>
    </row>
    <row r="237" spans="2:6">
      <c r="B237" s="224"/>
      <c r="C237" s="253"/>
      <c r="D237" s="34">
        <v>0.01</v>
      </c>
      <c r="E237" s="269" t="s">
        <v>460</v>
      </c>
      <c r="F237" s="270"/>
    </row>
    <row r="238" spans="2:6" ht="49.5" customHeight="1">
      <c r="B238" s="224"/>
      <c r="C238" s="253"/>
      <c r="D238" s="34">
        <v>1.67E-3</v>
      </c>
      <c r="E238" s="269" t="s">
        <v>461</v>
      </c>
      <c r="F238" s="270"/>
    </row>
    <row r="239" spans="2:6" ht="54" customHeight="1">
      <c r="B239" s="224"/>
      <c r="C239" s="253"/>
      <c r="D239" s="34">
        <v>2.2499999999999998E-3</v>
      </c>
      <c r="E239" s="269" t="s">
        <v>462</v>
      </c>
      <c r="F239" s="270"/>
    </row>
    <row r="240" spans="2:6" ht="49.5" customHeight="1">
      <c r="B240" s="224"/>
      <c r="C240" s="253"/>
      <c r="D240" s="34">
        <v>3.0000000000000001E-3</v>
      </c>
      <c r="E240" s="269" t="s">
        <v>463</v>
      </c>
      <c r="F240" s="270"/>
    </row>
    <row r="241" spans="2:6" ht="48.75" customHeight="1">
      <c r="B241" s="224"/>
      <c r="C241" s="253"/>
      <c r="D241" s="34">
        <v>1.67E-2</v>
      </c>
      <c r="E241" s="264" t="s">
        <v>464</v>
      </c>
      <c r="F241" s="271"/>
    </row>
    <row r="242" spans="2:6" ht="54.75" customHeight="1">
      <c r="B242" s="254"/>
      <c r="C242" s="255"/>
      <c r="D242" s="34">
        <v>1.4E-2</v>
      </c>
      <c r="E242" s="264" t="s">
        <v>465</v>
      </c>
      <c r="F242" s="271"/>
    </row>
    <row r="243" spans="2:6" ht="51.75" customHeight="1">
      <c r="B243" s="297"/>
      <c r="C243" s="298"/>
      <c r="D243" s="109">
        <v>8.9999999999999993E-3</v>
      </c>
      <c r="E243" s="264" t="s">
        <v>466</v>
      </c>
      <c r="F243" s="271"/>
    </row>
    <row r="244" spans="2:6">
      <c r="B244" s="254" t="s">
        <v>90</v>
      </c>
      <c r="C244" s="255"/>
      <c r="D244" s="39">
        <v>7.7000000000000002E-3</v>
      </c>
      <c r="E244" s="223"/>
      <c r="F244" s="223"/>
    </row>
    <row r="245" spans="2:6">
      <c r="B245" s="111"/>
      <c r="C245" s="111"/>
      <c r="D245" s="111"/>
      <c r="E245" s="25"/>
      <c r="F245" s="25"/>
    </row>
    <row r="246" spans="2:6">
      <c r="B246" s="265" t="s">
        <v>467</v>
      </c>
      <c r="C246" s="266"/>
      <c r="D246" s="41" t="s">
        <v>468</v>
      </c>
      <c r="E246" s="267" t="s">
        <v>87</v>
      </c>
      <c r="F246" s="267"/>
    </row>
    <row r="247" spans="2:6">
      <c r="B247" s="224"/>
      <c r="C247" s="253"/>
      <c r="D247" s="34">
        <v>0.75600000000000001</v>
      </c>
      <c r="E247" s="264" t="s">
        <v>475</v>
      </c>
      <c r="F247" s="264"/>
    </row>
    <row r="248" spans="2:6" ht="15" customHeight="1">
      <c r="B248" s="224"/>
      <c r="C248" s="253"/>
      <c r="D248" s="34">
        <v>0.64</v>
      </c>
      <c r="E248" s="269" t="s">
        <v>474</v>
      </c>
      <c r="F248" s="270"/>
    </row>
    <row r="249" spans="2:6">
      <c r="B249" s="224"/>
      <c r="C249" s="253"/>
      <c r="D249" s="34">
        <v>1</v>
      </c>
      <c r="E249" s="269" t="s">
        <v>474</v>
      </c>
      <c r="F249" s="270"/>
    </row>
    <row r="250" spans="2:6" ht="15" customHeight="1">
      <c r="B250" s="224"/>
      <c r="C250" s="253"/>
      <c r="D250" s="34">
        <v>0.97199999999999998</v>
      </c>
      <c r="E250" s="269" t="s">
        <v>471</v>
      </c>
      <c r="F250" s="270"/>
    </row>
    <row r="251" spans="2:6">
      <c r="B251" s="224"/>
      <c r="C251" s="253"/>
      <c r="D251" s="34">
        <v>0.82799999999999996</v>
      </c>
      <c r="E251" s="269" t="s">
        <v>471</v>
      </c>
      <c r="F251" s="270"/>
    </row>
    <row r="252" spans="2:6">
      <c r="B252" s="224"/>
      <c r="C252" s="253"/>
      <c r="D252" s="34">
        <v>0.1008</v>
      </c>
      <c r="E252" s="264" t="s">
        <v>473</v>
      </c>
      <c r="F252" s="271"/>
    </row>
    <row r="253" spans="2:6">
      <c r="B253" s="254"/>
      <c r="C253" s="255"/>
      <c r="D253" s="34">
        <v>0.504</v>
      </c>
      <c r="E253" s="264" t="s">
        <v>473</v>
      </c>
      <c r="F253" s="271"/>
    </row>
    <row r="254" spans="2:6">
      <c r="B254" s="297"/>
      <c r="C254" s="298"/>
      <c r="D254" s="109">
        <v>1.512</v>
      </c>
      <c r="E254" s="264" t="s">
        <v>472</v>
      </c>
      <c r="F254" s="271"/>
    </row>
    <row r="255" spans="2:6">
      <c r="B255" s="297"/>
      <c r="C255" s="298"/>
      <c r="D255" s="109">
        <v>0.11899999999999999</v>
      </c>
      <c r="E255" s="264" t="s">
        <v>472</v>
      </c>
      <c r="F255" s="271"/>
    </row>
    <row r="256" spans="2:6">
      <c r="B256" s="297"/>
      <c r="C256" s="298"/>
      <c r="D256" s="109">
        <v>5.3999999999999999E-2</v>
      </c>
      <c r="E256" s="264" t="s">
        <v>471</v>
      </c>
      <c r="F256" s="271"/>
    </row>
    <row r="257" spans="2:6" ht="33.75" customHeight="1">
      <c r="B257" s="297"/>
      <c r="C257" s="298"/>
      <c r="D257" s="109">
        <v>1.288</v>
      </c>
      <c r="E257" s="264" t="s">
        <v>470</v>
      </c>
      <c r="F257" s="271"/>
    </row>
    <row r="258" spans="2:6" ht="30" customHeight="1">
      <c r="B258" s="297"/>
      <c r="C258" s="298"/>
      <c r="D258" s="109">
        <v>2.1</v>
      </c>
      <c r="E258" s="264" t="s">
        <v>470</v>
      </c>
      <c r="F258" s="271"/>
    </row>
    <row r="259" spans="2:6">
      <c r="B259" s="110"/>
      <c r="C259" s="112"/>
      <c r="D259" s="34">
        <v>0.95399999999999996</v>
      </c>
      <c r="E259" s="264" t="s">
        <v>469</v>
      </c>
      <c r="F259" s="271"/>
    </row>
    <row r="260" spans="2:6" ht="16.5" customHeight="1">
      <c r="B260" s="224"/>
      <c r="C260" s="253"/>
      <c r="D260" s="34">
        <v>1.8759999999999999</v>
      </c>
      <c r="E260" s="264" t="s">
        <v>469</v>
      </c>
      <c r="F260" s="271"/>
    </row>
    <row r="261" spans="2:6">
      <c r="B261" s="254" t="s">
        <v>90</v>
      </c>
      <c r="C261" s="255"/>
      <c r="D261" s="39">
        <v>1.1097999999999999</v>
      </c>
      <c r="E261" s="223"/>
      <c r="F261" s="223"/>
    </row>
    <row r="262" spans="2:6">
      <c r="B262" s="111"/>
      <c r="C262" s="111"/>
      <c r="D262" s="111"/>
      <c r="E262" s="25"/>
      <c r="F262" s="25"/>
    </row>
    <row r="263" spans="2:6">
      <c r="B263" s="265" t="s">
        <v>476</v>
      </c>
      <c r="C263" s="266"/>
      <c r="D263" s="41" t="s">
        <v>477</v>
      </c>
      <c r="E263" s="267" t="s">
        <v>87</v>
      </c>
      <c r="F263" s="267"/>
    </row>
    <row r="264" spans="2:6">
      <c r="B264" s="224"/>
      <c r="C264" s="253"/>
      <c r="D264" s="34">
        <v>0.45200000000000001</v>
      </c>
      <c r="E264" s="264" t="s">
        <v>478</v>
      </c>
      <c r="F264" s="264"/>
    </row>
    <row r="265" spans="2:6" ht="48.75" customHeight="1">
      <c r="B265" s="224"/>
      <c r="C265" s="253"/>
      <c r="D265" s="34">
        <v>0.2016</v>
      </c>
      <c r="E265" s="269" t="s">
        <v>479</v>
      </c>
      <c r="F265" s="270"/>
    </row>
    <row r="266" spans="2:6">
      <c r="B266" s="254" t="s">
        <v>90</v>
      </c>
      <c r="C266" s="255"/>
      <c r="D266" s="39">
        <v>0.32679999999999998</v>
      </c>
      <c r="E266" s="223"/>
      <c r="F266" s="223"/>
    </row>
    <row r="267" spans="2:6">
      <c r="B267" s="111"/>
      <c r="C267" s="111"/>
      <c r="D267" s="111"/>
      <c r="E267" s="25"/>
      <c r="F267" s="25"/>
    </row>
    <row r="268" spans="2:6">
      <c r="B268" s="265" t="s">
        <v>480</v>
      </c>
      <c r="C268" s="266"/>
      <c r="D268" s="41" t="s">
        <v>481</v>
      </c>
      <c r="E268" s="267" t="s">
        <v>87</v>
      </c>
      <c r="F268" s="267"/>
    </row>
    <row r="269" spans="2:6">
      <c r="B269" s="224"/>
      <c r="C269" s="253"/>
      <c r="D269" s="34">
        <v>0.23699999999999999</v>
      </c>
      <c r="E269" s="264" t="s">
        <v>482</v>
      </c>
      <c r="F269" s="264"/>
    </row>
    <row r="270" spans="2:6">
      <c r="B270" s="224"/>
      <c r="C270" s="253"/>
      <c r="D270" s="34">
        <v>0.54</v>
      </c>
      <c r="E270" s="271" t="s">
        <v>483</v>
      </c>
      <c r="F270" s="271"/>
    </row>
    <row r="271" spans="2:6">
      <c r="B271" s="224"/>
      <c r="C271" s="253"/>
      <c r="D271" s="34">
        <v>7.1999999999999995E-2</v>
      </c>
      <c r="E271" s="271" t="s">
        <v>483</v>
      </c>
      <c r="F271" s="271"/>
    </row>
    <row r="272" spans="2:6">
      <c r="B272" s="224"/>
      <c r="C272" s="253"/>
      <c r="D272" s="34">
        <v>2.88</v>
      </c>
      <c r="E272" s="271" t="s">
        <v>483</v>
      </c>
      <c r="F272" s="271"/>
    </row>
    <row r="273" spans="2:6" ht="16.5" customHeight="1">
      <c r="B273" s="224"/>
      <c r="C273" s="253"/>
      <c r="D273" s="34">
        <v>0.65500000000000003</v>
      </c>
      <c r="E273" s="264" t="s">
        <v>484</v>
      </c>
      <c r="F273" s="264"/>
    </row>
    <row r="274" spans="2:6">
      <c r="B274" s="254" t="s">
        <v>90</v>
      </c>
      <c r="C274" s="255"/>
      <c r="D274" s="39">
        <v>0.87680000000000002</v>
      </c>
      <c r="E274" s="223"/>
      <c r="F274" s="223"/>
    </row>
    <row r="276" spans="2:6">
      <c r="B276" s="262" t="s">
        <v>101</v>
      </c>
      <c r="C276" s="262"/>
      <c r="D276" s="262"/>
      <c r="E276" s="262"/>
    </row>
    <row r="277" spans="2:6">
      <c r="B277" s="42" t="s">
        <v>66</v>
      </c>
      <c r="C277" s="42" t="s">
        <v>491</v>
      </c>
      <c r="D277" s="42" t="s">
        <v>87</v>
      </c>
      <c r="E277" s="42" t="s">
        <v>102</v>
      </c>
    </row>
    <row r="278" spans="2:6">
      <c r="B278" s="59" t="s">
        <v>485</v>
      </c>
      <c r="C278" s="55">
        <v>0.39939999999999998</v>
      </c>
      <c r="D278" s="59" t="s">
        <v>486</v>
      </c>
      <c r="E278" s="55"/>
    </row>
    <row r="279" spans="2:6" ht="45">
      <c r="B279" s="59" t="s">
        <v>487</v>
      </c>
      <c r="C279" s="55">
        <f>4.07434*C278</f>
        <v>1.6272913959999999</v>
      </c>
      <c r="D279" s="59" t="s">
        <v>488</v>
      </c>
      <c r="E279" s="55" t="s">
        <v>110</v>
      </c>
    </row>
    <row r="280" spans="2:6" ht="30">
      <c r="B280" s="59" t="s">
        <v>489</v>
      </c>
      <c r="C280" s="55">
        <f>0.03275*C278</f>
        <v>1.3080349999999999E-2</v>
      </c>
      <c r="D280" s="59" t="s">
        <v>492</v>
      </c>
      <c r="E280" s="59" t="s">
        <v>490</v>
      </c>
    </row>
    <row r="281" spans="2:6" ht="30">
      <c r="B281" s="55" t="s">
        <v>114</v>
      </c>
      <c r="C281" s="55">
        <f>7.7*C278</f>
        <v>3.07538</v>
      </c>
      <c r="D281" s="59" t="s">
        <v>493</v>
      </c>
      <c r="E281" s="55" t="s">
        <v>116</v>
      </c>
    </row>
    <row r="282" spans="2:6">
      <c r="B282" s="268" t="s">
        <v>123</v>
      </c>
      <c r="C282" s="268"/>
      <c r="D282" s="268"/>
      <c r="E282" s="268"/>
    </row>
    <row r="283" spans="2:6">
      <c r="B283" s="58" t="s">
        <v>494</v>
      </c>
      <c r="C283" s="55">
        <f>C278</f>
        <v>0.39939999999999998</v>
      </c>
      <c r="D283" s="58" t="s">
        <v>495</v>
      </c>
      <c r="E283" s="58"/>
    </row>
    <row r="285" spans="2:6">
      <c r="B285" s="38" t="s">
        <v>497</v>
      </c>
    </row>
    <row r="287" spans="2:6" ht="42.75" customHeight="1">
      <c r="B287" s="208" t="s">
        <v>496</v>
      </c>
      <c r="C287" s="208"/>
      <c r="D287" s="208"/>
      <c r="E287" s="208"/>
      <c r="F287" s="208"/>
    </row>
    <row r="288" spans="2:6">
      <c r="B288" s="265" t="s">
        <v>498</v>
      </c>
      <c r="C288" s="266"/>
      <c r="D288" s="41" t="s">
        <v>499</v>
      </c>
      <c r="E288" s="267" t="s">
        <v>87</v>
      </c>
      <c r="F288" s="267"/>
    </row>
    <row r="289" spans="2:6">
      <c r="B289" s="224"/>
      <c r="C289" s="253"/>
      <c r="D289" s="34">
        <v>0.18</v>
      </c>
      <c r="E289" s="264" t="s">
        <v>511</v>
      </c>
      <c r="F289" s="264"/>
    </row>
    <row r="290" spans="2:6" ht="38.25" customHeight="1">
      <c r="B290" s="224"/>
      <c r="C290" s="253"/>
      <c r="D290" s="34">
        <v>1.93</v>
      </c>
      <c r="E290" s="264" t="s">
        <v>510</v>
      </c>
      <c r="F290" s="264"/>
    </row>
    <row r="291" spans="2:6">
      <c r="B291" s="224"/>
      <c r="C291" s="253"/>
      <c r="D291" s="34">
        <v>0.1</v>
      </c>
      <c r="E291" s="269" t="s">
        <v>508</v>
      </c>
      <c r="F291" s="270"/>
    </row>
    <row r="292" spans="2:6">
      <c r="B292" s="224"/>
      <c r="C292" s="253"/>
      <c r="D292" s="34">
        <v>4.8</v>
      </c>
      <c r="E292" s="269" t="s">
        <v>508</v>
      </c>
      <c r="F292" s="270"/>
    </row>
    <row r="293" spans="2:6">
      <c r="B293" s="224"/>
      <c r="C293" s="253"/>
      <c r="D293" s="34">
        <v>0.26</v>
      </c>
      <c r="E293" s="299" t="s">
        <v>509</v>
      </c>
      <c r="F293" s="300"/>
    </row>
    <row r="294" spans="2:6">
      <c r="B294" s="224"/>
      <c r="C294" s="253"/>
      <c r="D294" s="34">
        <v>0.14000000000000001</v>
      </c>
      <c r="E294" s="269" t="s">
        <v>508</v>
      </c>
      <c r="F294" s="270"/>
    </row>
    <row r="295" spans="2:6" ht="36" customHeight="1">
      <c r="B295" s="224"/>
      <c r="C295" s="253"/>
      <c r="D295" s="34">
        <v>6.7</v>
      </c>
      <c r="E295" s="269" t="s">
        <v>507</v>
      </c>
      <c r="F295" s="270"/>
    </row>
    <row r="296" spans="2:6">
      <c r="B296" s="224"/>
      <c r="C296" s="253"/>
      <c r="D296" s="34">
        <v>5.53</v>
      </c>
      <c r="E296" s="299" t="s">
        <v>506</v>
      </c>
      <c r="F296" s="300"/>
    </row>
    <row r="297" spans="2:6">
      <c r="B297" s="224"/>
      <c r="C297" s="253"/>
      <c r="D297" s="34">
        <v>1.03</v>
      </c>
      <c r="E297" s="299" t="s">
        <v>506</v>
      </c>
      <c r="F297" s="300"/>
    </row>
    <row r="298" spans="2:6">
      <c r="B298" s="224"/>
      <c r="C298" s="253"/>
      <c r="D298" s="34">
        <v>0.54</v>
      </c>
      <c r="E298" s="299" t="s">
        <v>506</v>
      </c>
      <c r="F298" s="300"/>
    </row>
    <row r="299" spans="2:6">
      <c r="B299" s="224"/>
      <c r="C299" s="253"/>
      <c r="D299" s="34">
        <v>0.37</v>
      </c>
      <c r="E299" s="299" t="s">
        <v>506</v>
      </c>
      <c r="F299" s="300"/>
    </row>
    <row r="300" spans="2:6" ht="47.25" customHeight="1">
      <c r="B300" s="224"/>
      <c r="C300" s="253"/>
      <c r="D300" s="34">
        <v>0.69</v>
      </c>
      <c r="E300" s="269" t="s">
        <v>505</v>
      </c>
      <c r="F300" s="270"/>
    </row>
    <row r="301" spans="2:6">
      <c r="B301" s="224"/>
      <c r="C301" s="253"/>
      <c r="D301" s="34">
        <v>0.27</v>
      </c>
      <c r="E301" s="299" t="s">
        <v>504</v>
      </c>
      <c r="F301" s="300"/>
    </row>
    <row r="302" spans="2:6">
      <c r="B302" s="224"/>
      <c r="C302" s="253"/>
      <c r="D302" s="34">
        <v>0.17</v>
      </c>
      <c r="E302" s="299" t="s">
        <v>503</v>
      </c>
      <c r="F302" s="300"/>
    </row>
    <row r="303" spans="2:6">
      <c r="B303" s="224"/>
      <c r="C303" s="253"/>
      <c r="D303" s="34">
        <v>0.27</v>
      </c>
      <c r="E303" s="299" t="s">
        <v>503</v>
      </c>
      <c r="F303" s="300"/>
    </row>
    <row r="304" spans="2:6">
      <c r="B304" s="224"/>
      <c r="C304" s="253"/>
      <c r="D304" s="34">
        <v>0.35</v>
      </c>
      <c r="E304" s="299" t="s">
        <v>503</v>
      </c>
      <c r="F304" s="300"/>
    </row>
    <row r="305" spans="2:6">
      <c r="B305" s="224"/>
      <c r="C305" s="253"/>
      <c r="D305" s="34">
        <v>4.75</v>
      </c>
      <c r="E305" s="299" t="s">
        <v>503</v>
      </c>
      <c r="F305" s="300"/>
    </row>
    <row r="306" spans="2:6">
      <c r="B306" s="224"/>
      <c r="C306" s="253"/>
      <c r="D306" s="34">
        <v>0.14000000000000001</v>
      </c>
      <c r="E306" s="299" t="s">
        <v>503</v>
      </c>
      <c r="F306" s="300"/>
    </row>
    <row r="307" spans="2:6" ht="34.5" customHeight="1">
      <c r="B307" s="224"/>
      <c r="C307" s="253"/>
      <c r="D307" s="34">
        <v>2.0299999999999998</v>
      </c>
      <c r="E307" s="269" t="s">
        <v>502</v>
      </c>
      <c r="F307" s="300"/>
    </row>
    <row r="308" spans="2:6">
      <c r="B308" s="224"/>
      <c r="C308" s="253"/>
      <c r="D308" s="34">
        <v>0.52</v>
      </c>
      <c r="E308" s="264" t="s">
        <v>500</v>
      </c>
      <c r="F308" s="264"/>
    </row>
    <row r="309" spans="2:6">
      <c r="B309" s="224"/>
      <c r="C309" s="253"/>
      <c r="D309" s="34">
        <v>0.33</v>
      </c>
      <c r="E309" s="264" t="s">
        <v>500</v>
      </c>
      <c r="F309" s="264"/>
    </row>
    <row r="310" spans="2:6">
      <c r="B310" s="224"/>
      <c r="C310" s="253"/>
      <c r="D310" s="34">
        <v>0.27</v>
      </c>
      <c r="E310" s="264" t="s">
        <v>500</v>
      </c>
      <c r="F310" s="264"/>
    </row>
    <row r="311" spans="2:6" ht="31.5" customHeight="1">
      <c r="B311" s="254" t="s">
        <v>90</v>
      </c>
      <c r="C311" s="255"/>
      <c r="D311" s="39">
        <v>1.649</v>
      </c>
      <c r="E311" s="264" t="s">
        <v>501</v>
      </c>
      <c r="F311" s="264"/>
    </row>
    <row r="313" spans="2:6">
      <c r="B313" s="262" t="s">
        <v>101</v>
      </c>
      <c r="C313" s="262"/>
      <c r="D313" s="262"/>
      <c r="E313" s="262"/>
    </row>
    <row r="314" spans="2:6">
      <c r="B314" s="42" t="s">
        <v>66</v>
      </c>
      <c r="C314" s="42" t="s">
        <v>517</v>
      </c>
      <c r="D314" s="42" t="s">
        <v>87</v>
      </c>
      <c r="E314" s="42" t="s">
        <v>102</v>
      </c>
    </row>
    <row r="315" spans="2:6" ht="45">
      <c r="B315" s="59" t="s">
        <v>512</v>
      </c>
      <c r="C315" s="55">
        <f>1.0195*0.948</f>
        <v>0.96648600000000007</v>
      </c>
      <c r="D315" s="59" t="s">
        <v>529</v>
      </c>
      <c r="E315" s="55"/>
    </row>
    <row r="316" spans="2:6" ht="45">
      <c r="B316" s="59" t="s">
        <v>514</v>
      </c>
      <c r="C316" s="55">
        <f>1.1112*0.948</f>
        <v>1.0534176</v>
      </c>
      <c r="D316" s="59" t="s">
        <v>530</v>
      </c>
      <c r="E316" s="55"/>
    </row>
    <row r="317" spans="2:6" ht="30">
      <c r="B317" s="59" t="s">
        <v>487</v>
      </c>
      <c r="C317" s="55">
        <f>(C315+C316)*1.649</f>
        <v>3.3308210364000002</v>
      </c>
      <c r="D317" s="59" t="s">
        <v>515</v>
      </c>
      <c r="E317" s="55" t="s">
        <v>110</v>
      </c>
    </row>
    <row r="318" spans="2:6">
      <c r="B318" s="268" t="s">
        <v>123</v>
      </c>
      <c r="C318" s="268"/>
      <c r="D318" s="268"/>
      <c r="E318" s="268"/>
    </row>
    <row r="319" spans="2:6">
      <c r="B319" s="58" t="s">
        <v>494</v>
      </c>
      <c r="C319" s="55">
        <f>C315</f>
        <v>0.96648600000000007</v>
      </c>
      <c r="D319" s="58"/>
      <c r="E319" s="58"/>
    </row>
    <row r="320" spans="2:6">
      <c r="B320" s="58" t="s">
        <v>516</v>
      </c>
      <c r="C320" s="55">
        <f>C316</f>
        <v>1.0534176</v>
      </c>
      <c r="D320" s="58"/>
      <c r="E320" s="58"/>
    </row>
    <row r="321" spans="2:6" ht="30">
      <c r="B321" s="55" t="s">
        <v>251</v>
      </c>
      <c r="C321" s="55">
        <f>(1.0195+1.1112)*0.052</f>
        <v>0.1107964</v>
      </c>
      <c r="D321" s="59" t="s">
        <v>518</v>
      </c>
      <c r="E321" s="58"/>
    </row>
    <row r="323" spans="2:6">
      <c r="B323" s="265" t="s">
        <v>96</v>
      </c>
      <c r="C323" s="266"/>
      <c r="D323" s="41" t="s">
        <v>97</v>
      </c>
      <c r="E323" s="267" t="s">
        <v>87</v>
      </c>
      <c r="F323" s="267"/>
    </row>
    <row r="324" spans="2:6">
      <c r="B324" s="224"/>
      <c r="C324" s="253"/>
      <c r="D324" s="34">
        <v>0.10125000000000001</v>
      </c>
      <c r="E324" s="264" t="s">
        <v>88</v>
      </c>
      <c r="F324" s="264"/>
    </row>
    <row r="325" spans="2:6">
      <c r="B325" s="224"/>
      <c r="C325" s="253"/>
      <c r="D325" s="34">
        <v>0.15079000000000001</v>
      </c>
      <c r="E325" s="264" t="s">
        <v>89</v>
      </c>
      <c r="F325" s="271"/>
    </row>
    <row r="326" spans="2:6">
      <c r="B326" s="254" t="s">
        <v>90</v>
      </c>
      <c r="C326" s="255"/>
      <c r="D326" s="39">
        <v>0.126</v>
      </c>
      <c r="E326" s="223"/>
      <c r="F326" s="223"/>
    </row>
    <row r="328" spans="2:6">
      <c r="B328" s="265" t="s">
        <v>92</v>
      </c>
      <c r="C328" s="266"/>
      <c r="D328" s="40" t="s">
        <v>93</v>
      </c>
      <c r="E328" s="267" t="s">
        <v>87</v>
      </c>
      <c r="F328" s="267"/>
    </row>
    <row r="329" spans="2:6">
      <c r="B329" s="224"/>
      <c r="C329" s="253"/>
      <c r="D329" s="34">
        <v>1.44</v>
      </c>
      <c r="E329" s="264" t="s">
        <v>94</v>
      </c>
      <c r="F329" s="264"/>
    </row>
    <row r="330" spans="2:6">
      <c r="B330" s="224"/>
      <c r="C330" s="253"/>
      <c r="D330" s="34">
        <v>2.88</v>
      </c>
      <c r="E330" s="264" t="s">
        <v>95</v>
      </c>
      <c r="F330" s="271"/>
    </row>
    <row r="331" spans="2:6">
      <c r="B331" s="254" t="s">
        <v>90</v>
      </c>
      <c r="C331" s="255"/>
      <c r="D331" s="39">
        <v>2.16</v>
      </c>
      <c r="E331" s="223"/>
      <c r="F331" s="223"/>
    </row>
    <row r="333" spans="2:6">
      <c r="B333" s="265" t="s">
        <v>98</v>
      </c>
      <c r="C333" s="266"/>
      <c r="D333" s="40" t="s">
        <v>99</v>
      </c>
      <c r="E333" s="267" t="s">
        <v>87</v>
      </c>
      <c r="F333" s="267"/>
    </row>
    <row r="334" spans="2:6">
      <c r="B334" s="224"/>
      <c r="C334" s="253"/>
      <c r="D334" s="34">
        <v>11.7</v>
      </c>
      <c r="E334" s="264" t="s">
        <v>100</v>
      </c>
      <c r="F334" s="264"/>
    </row>
    <row r="335" spans="2:6">
      <c r="B335" s="224"/>
      <c r="C335" s="253"/>
      <c r="D335" s="34">
        <v>19.7</v>
      </c>
      <c r="E335" s="264" t="s">
        <v>100</v>
      </c>
      <c r="F335" s="271"/>
    </row>
    <row r="336" spans="2:6">
      <c r="B336" s="254" t="s">
        <v>90</v>
      </c>
      <c r="C336" s="255"/>
      <c r="D336" s="39">
        <v>15.7</v>
      </c>
      <c r="E336" s="223"/>
      <c r="F336" s="223"/>
    </row>
    <row r="339" spans="2:5">
      <c r="B339" s="262" t="s">
        <v>101</v>
      </c>
      <c r="C339" s="262"/>
      <c r="D339" s="262"/>
      <c r="E339" s="262"/>
    </row>
    <row r="340" spans="2:5">
      <c r="B340" s="42" t="s">
        <v>66</v>
      </c>
      <c r="C340" s="42" t="s">
        <v>491</v>
      </c>
      <c r="D340" s="42" t="s">
        <v>87</v>
      </c>
      <c r="E340" s="42" t="s">
        <v>102</v>
      </c>
    </row>
    <row r="341" spans="2:5" ht="30">
      <c r="B341" s="59" t="s">
        <v>103</v>
      </c>
      <c r="C341" s="55">
        <f>C186*0.95</f>
        <v>0.79134999999999989</v>
      </c>
      <c r="D341" s="59" t="s">
        <v>107</v>
      </c>
      <c r="E341" s="55"/>
    </row>
    <row r="342" spans="2:5" ht="30">
      <c r="B342" s="59" t="s">
        <v>105</v>
      </c>
      <c r="C342" s="55">
        <f>C186*0.05</f>
        <v>4.165E-2</v>
      </c>
      <c r="D342" s="59" t="s">
        <v>108</v>
      </c>
      <c r="E342" s="59" t="s">
        <v>106</v>
      </c>
    </row>
    <row r="343" spans="2:5">
      <c r="B343" s="59" t="s">
        <v>112</v>
      </c>
      <c r="C343" s="55">
        <f>C341*(0.126+2.16)</f>
        <v>1.8090260999999999</v>
      </c>
      <c r="D343" s="59" t="s">
        <v>519</v>
      </c>
      <c r="E343" s="55" t="s">
        <v>110</v>
      </c>
    </row>
    <row r="344" spans="2:5" ht="45">
      <c r="B344" s="60" t="s">
        <v>111</v>
      </c>
      <c r="C344" s="55">
        <f>C341*0.038</f>
        <v>3.0071299999999995E-2</v>
      </c>
      <c r="D344" s="59" t="s">
        <v>122</v>
      </c>
      <c r="E344" s="59" t="s">
        <v>113</v>
      </c>
    </row>
    <row r="345" spans="2:5">
      <c r="B345" s="55" t="s">
        <v>114</v>
      </c>
      <c r="C345" s="55">
        <f>C341*0.0102</f>
        <v>8.0717699999999989E-3</v>
      </c>
      <c r="D345" s="55" t="s">
        <v>115</v>
      </c>
      <c r="E345" s="55" t="s">
        <v>116</v>
      </c>
    </row>
    <row r="346" spans="2:5" ht="30">
      <c r="B346" s="59" t="s">
        <v>117</v>
      </c>
      <c r="C346" s="55">
        <f>0.95*C187</f>
        <v>1.8828999999999998</v>
      </c>
      <c r="D346" s="59" t="s">
        <v>118</v>
      </c>
      <c r="E346" s="59" t="s">
        <v>104</v>
      </c>
    </row>
    <row r="347" spans="2:5" ht="30">
      <c r="B347" s="59" t="s">
        <v>119</v>
      </c>
      <c r="C347" s="55">
        <f>0.05*C187</f>
        <v>9.9100000000000008E-2</v>
      </c>
      <c r="D347" s="59" t="s">
        <v>120</v>
      </c>
      <c r="E347" s="59" t="s">
        <v>106</v>
      </c>
    </row>
    <row r="348" spans="2:5">
      <c r="B348" s="59" t="s">
        <v>121</v>
      </c>
      <c r="C348" s="55">
        <f>C346*(0.126+2.16)</f>
        <v>4.3043093999999993</v>
      </c>
      <c r="D348" s="59" t="s">
        <v>520</v>
      </c>
      <c r="E348" s="55" t="s">
        <v>110</v>
      </c>
    </row>
    <row r="349" spans="2:5" ht="45">
      <c r="B349" s="55" t="s">
        <v>111</v>
      </c>
      <c r="C349" s="55">
        <f>C346*0.038</f>
        <v>7.1550199999999994E-2</v>
      </c>
      <c r="D349" s="59" t="s">
        <v>122</v>
      </c>
      <c r="E349" s="59" t="s">
        <v>113</v>
      </c>
    </row>
    <row r="350" spans="2:5">
      <c r="B350" s="58" t="s">
        <v>114</v>
      </c>
      <c r="C350" s="55">
        <f>C346*0.0102</f>
        <v>1.920558E-2</v>
      </c>
      <c r="D350" s="58" t="s">
        <v>115</v>
      </c>
      <c r="E350" s="55" t="s">
        <v>116</v>
      </c>
    </row>
    <row r="351" spans="2:5">
      <c r="B351" s="268" t="s">
        <v>123</v>
      </c>
      <c r="C351" s="268"/>
      <c r="D351" s="268"/>
      <c r="E351" s="268"/>
    </row>
    <row r="352" spans="2:5">
      <c r="B352" s="58" t="s">
        <v>124</v>
      </c>
      <c r="C352" s="55">
        <f>C341</f>
        <v>0.79134999999999989</v>
      </c>
      <c r="D352" s="58" t="s">
        <v>125</v>
      </c>
      <c r="E352" s="58"/>
    </row>
    <row r="353" spans="2:5">
      <c r="B353" s="58" t="s">
        <v>126</v>
      </c>
      <c r="C353" s="55">
        <f>C342</f>
        <v>4.165E-2</v>
      </c>
      <c r="D353" s="58" t="s">
        <v>125</v>
      </c>
      <c r="E353" s="58"/>
    </row>
    <row r="354" spans="2:5">
      <c r="B354" s="58" t="s">
        <v>127</v>
      </c>
      <c r="C354" s="55">
        <f>C346</f>
        <v>1.8828999999999998</v>
      </c>
      <c r="D354" s="58" t="s">
        <v>125</v>
      </c>
      <c r="E354" s="58"/>
    </row>
    <row r="355" spans="2:5">
      <c r="B355" s="58" t="s">
        <v>128</v>
      </c>
      <c r="C355" s="55">
        <f>C347</f>
        <v>9.9100000000000008E-2</v>
      </c>
      <c r="D355" s="58" t="s">
        <v>125</v>
      </c>
      <c r="E355" s="58"/>
    </row>
    <row r="357" spans="2:5">
      <c r="B357" s="262" t="s">
        <v>101</v>
      </c>
      <c r="C357" s="262"/>
      <c r="D357" s="262"/>
      <c r="E357" s="262"/>
    </row>
    <row r="358" spans="2:5">
      <c r="B358" s="42" t="s">
        <v>66</v>
      </c>
      <c r="C358" s="42" t="s">
        <v>253</v>
      </c>
      <c r="D358" s="42" t="s">
        <v>87</v>
      </c>
      <c r="E358" s="42" t="s">
        <v>102</v>
      </c>
    </row>
    <row r="359" spans="2:5" ht="30">
      <c r="B359" s="59" t="s">
        <v>129</v>
      </c>
      <c r="C359" s="55">
        <f>0.95*C193</f>
        <v>0.22324999999999998</v>
      </c>
      <c r="D359" s="59" t="s">
        <v>133</v>
      </c>
      <c r="E359" s="59" t="s">
        <v>104</v>
      </c>
    </row>
    <row r="360" spans="2:5" ht="30">
      <c r="B360" s="59" t="s">
        <v>130</v>
      </c>
      <c r="C360" s="55">
        <f>0.05*C193</f>
        <v>1.175E-2</v>
      </c>
      <c r="D360" s="59" t="s">
        <v>132</v>
      </c>
      <c r="E360" s="59" t="s">
        <v>106</v>
      </c>
    </row>
    <row r="361" spans="2:5">
      <c r="B361" s="59" t="s">
        <v>131</v>
      </c>
      <c r="C361" s="55">
        <f>(0.126+15.7)*C359</f>
        <v>3.5331544999999993</v>
      </c>
      <c r="D361" s="59" t="s">
        <v>522</v>
      </c>
      <c r="E361" s="55" t="s">
        <v>110</v>
      </c>
    </row>
    <row r="362" spans="2:5" ht="75">
      <c r="B362" s="55" t="s">
        <v>134</v>
      </c>
      <c r="C362" s="55">
        <f>0.03668*C359</f>
        <v>8.1888099999999978E-3</v>
      </c>
      <c r="D362" s="59" t="s">
        <v>135</v>
      </c>
      <c r="E362" s="59" t="s">
        <v>136</v>
      </c>
    </row>
    <row r="363" spans="2:5" ht="75">
      <c r="B363" s="55" t="s">
        <v>140</v>
      </c>
      <c r="C363" s="55">
        <f>0.00084*C359</f>
        <v>1.8752999999999999E-4</v>
      </c>
      <c r="D363" s="59" t="s">
        <v>141</v>
      </c>
      <c r="E363" s="59" t="s">
        <v>142</v>
      </c>
    </row>
    <row r="364" spans="2:5" ht="75">
      <c r="B364" s="55" t="s">
        <v>143</v>
      </c>
      <c r="C364" s="55">
        <f>0.04463*C359</f>
        <v>9.9636474999999988E-3</v>
      </c>
      <c r="D364" s="59" t="s">
        <v>144</v>
      </c>
      <c r="E364" s="59" t="s">
        <v>145</v>
      </c>
    </row>
    <row r="365" spans="2:5" ht="75">
      <c r="B365" s="55" t="s">
        <v>114</v>
      </c>
      <c r="C365" s="55">
        <f>0.0628*C359</f>
        <v>1.4020099999999997E-2</v>
      </c>
      <c r="D365" s="59" t="s">
        <v>146</v>
      </c>
      <c r="E365" s="59" t="s">
        <v>116</v>
      </c>
    </row>
    <row r="366" spans="2:5">
      <c r="B366" s="58" t="s">
        <v>137</v>
      </c>
      <c r="C366" s="55">
        <f>0.002*C359</f>
        <v>4.4649999999999996E-4</v>
      </c>
      <c r="D366" s="58" t="s">
        <v>138</v>
      </c>
      <c r="E366" s="55" t="s">
        <v>139</v>
      </c>
    </row>
    <row r="367" spans="2:5">
      <c r="B367" s="268" t="s">
        <v>123</v>
      </c>
      <c r="C367" s="268"/>
      <c r="D367" s="268"/>
      <c r="E367" s="268"/>
    </row>
    <row r="368" spans="2:5">
      <c r="B368" s="58" t="s">
        <v>147</v>
      </c>
      <c r="C368" s="55">
        <f>C359</f>
        <v>0.22324999999999998</v>
      </c>
      <c r="D368" s="58" t="s">
        <v>125</v>
      </c>
      <c r="E368" s="58"/>
    </row>
    <row r="369" spans="2:5">
      <c r="B369" s="58" t="s">
        <v>148</v>
      </c>
      <c r="C369" s="55">
        <f>C360</f>
        <v>1.175E-2</v>
      </c>
      <c r="D369" s="58" t="s">
        <v>125</v>
      </c>
      <c r="E369" s="58"/>
    </row>
    <row r="371" spans="2:5">
      <c r="B371" s="38" t="s">
        <v>521</v>
      </c>
    </row>
    <row r="373" spans="2:5">
      <c r="B373" s="262" t="s">
        <v>101</v>
      </c>
      <c r="C373" s="262"/>
      <c r="D373" s="262"/>
      <c r="E373" s="262"/>
    </row>
    <row r="374" spans="2:5">
      <c r="B374" s="42" t="s">
        <v>66</v>
      </c>
      <c r="C374" s="42" t="s">
        <v>517</v>
      </c>
      <c r="D374" s="42" t="s">
        <v>87</v>
      </c>
      <c r="E374" s="42" t="s">
        <v>102</v>
      </c>
    </row>
    <row r="375" spans="2:5" ht="45">
      <c r="B375" s="59" t="s">
        <v>523</v>
      </c>
      <c r="C375" s="55">
        <f>C321</f>
        <v>0.1107964</v>
      </c>
      <c r="D375" s="59" t="s">
        <v>513</v>
      </c>
      <c r="E375" s="24" t="s">
        <v>525</v>
      </c>
    </row>
    <row r="376" spans="2:5">
      <c r="B376" s="268" t="s">
        <v>123</v>
      </c>
      <c r="C376" s="268"/>
      <c r="D376" s="268"/>
      <c r="E376" s="268"/>
    </row>
    <row r="377" spans="2:5">
      <c r="B377" s="58" t="s">
        <v>524</v>
      </c>
      <c r="C377" s="55">
        <f>C375</f>
        <v>0.1107964</v>
      </c>
      <c r="D377" s="58"/>
      <c r="E377" s="58"/>
    </row>
    <row r="379" spans="2:5">
      <c r="B379" s="38" t="s">
        <v>176</v>
      </c>
    </row>
    <row r="381" spans="2:5">
      <c r="B381" s="287" t="s">
        <v>531</v>
      </c>
      <c r="C381" s="262"/>
      <c r="D381" s="262"/>
      <c r="E381" s="262"/>
    </row>
    <row r="382" spans="2:5">
      <c r="B382" s="1" t="s">
        <v>162</v>
      </c>
      <c r="C382" s="1" t="s">
        <v>177</v>
      </c>
      <c r="D382" s="58" t="s">
        <v>81</v>
      </c>
      <c r="E382" s="58" t="s">
        <v>175</v>
      </c>
    </row>
    <row r="383" spans="2:5">
      <c r="B383" s="1" t="s">
        <v>163</v>
      </c>
      <c r="C383" s="113">
        <v>1.0499999999999999E-5</v>
      </c>
      <c r="D383" s="57">
        <v>2.5474999999999997E-6</v>
      </c>
      <c r="E383" s="44">
        <v>1.2376152882205513E-9</v>
      </c>
    </row>
    <row r="384" spans="2:5">
      <c r="B384" s="1" t="s">
        <v>164</v>
      </c>
      <c r="C384" s="114">
        <v>405</v>
      </c>
      <c r="D384" s="57">
        <v>7.4266666666666659</v>
      </c>
      <c r="E384" s="44">
        <v>9.346012531328321E-2</v>
      </c>
    </row>
    <row r="385" spans="2:5">
      <c r="B385" s="1" t="s">
        <v>165</v>
      </c>
      <c r="C385" s="114">
        <v>0.11600000000000001</v>
      </c>
      <c r="D385" s="57">
        <v>1.0983333333333333E-3</v>
      </c>
      <c r="E385" s="44">
        <v>1.7452694235588974E-5</v>
      </c>
    </row>
    <row r="386" spans="2:5">
      <c r="B386" s="1" t="s">
        <v>166</v>
      </c>
      <c r="C386" s="114">
        <v>8.8100000000000001E-3</v>
      </c>
      <c r="D386" s="57">
        <v>2.253333333333333E-4</v>
      </c>
      <c r="E386" s="44">
        <v>1.8730162907268171E-6</v>
      </c>
    </row>
    <row r="387" spans="2:5">
      <c r="B387" s="1" t="s">
        <v>167</v>
      </c>
      <c r="C387" s="114">
        <v>0.1845</v>
      </c>
      <c r="D387" s="57">
        <v>1.6758333333333334E-3</v>
      </c>
      <c r="E387" s="44">
        <v>1.5553157894736841E-5</v>
      </c>
    </row>
    <row r="388" spans="2:5">
      <c r="B388" s="1" t="s">
        <v>168</v>
      </c>
      <c r="C388" s="114">
        <v>37.14</v>
      </c>
      <c r="D388" s="57">
        <v>0.72699999999999987</v>
      </c>
      <c r="E388" s="44">
        <v>6.4535213032581463E-3</v>
      </c>
    </row>
    <row r="389" spans="2:5">
      <c r="B389" s="1" t="s">
        <v>169</v>
      </c>
      <c r="C389" s="114">
        <v>37.15</v>
      </c>
      <c r="D389" s="57">
        <v>0.72633333333333328</v>
      </c>
      <c r="E389" s="44">
        <v>6.5381303258145364E-3</v>
      </c>
    </row>
    <row r="390" spans="2:5">
      <c r="B390" s="1" t="s">
        <v>170</v>
      </c>
      <c r="C390" s="114">
        <v>50</v>
      </c>
      <c r="D390" s="57">
        <v>2.9199999999999997E-2</v>
      </c>
      <c r="E390" s="44">
        <v>1.882967418546366E-4</v>
      </c>
    </row>
    <row r="391" spans="2:5">
      <c r="B391" s="1" t="s">
        <v>171</v>
      </c>
      <c r="C391" s="114">
        <v>62700</v>
      </c>
      <c r="D391" s="57">
        <v>86.1</v>
      </c>
      <c r="E391" s="44">
        <v>0.59533182957393482</v>
      </c>
    </row>
    <row r="392" spans="2:5">
      <c r="B392" s="1" t="s">
        <v>172</v>
      </c>
      <c r="C392" s="114">
        <v>6.0300000000000001E-11</v>
      </c>
      <c r="D392" s="57">
        <v>2.8349999999999998E-11</v>
      </c>
      <c r="E392" s="44">
        <v>1.0530538847117795E-14</v>
      </c>
    </row>
    <row r="393" spans="2:5">
      <c r="B393" s="1" t="s">
        <v>173</v>
      </c>
      <c r="C393" s="114">
        <v>6.9100000000000003E-3</v>
      </c>
      <c r="D393" s="57">
        <v>7.5116666666666658E-5</v>
      </c>
      <c r="E393" s="44">
        <v>1.608404761904762E-6</v>
      </c>
    </row>
    <row r="394" spans="2:5">
      <c r="B394" s="1" t="s">
        <v>174</v>
      </c>
      <c r="C394" s="114">
        <v>6.9400000000000003E-2</v>
      </c>
      <c r="D394" s="57">
        <v>1.2308333333333331E-3</v>
      </c>
      <c r="E394" s="44">
        <v>7.1843157894736846E-5</v>
      </c>
    </row>
    <row r="396" spans="2:5">
      <c r="B396" s="287" t="s">
        <v>532</v>
      </c>
      <c r="C396" s="262"/>
      <c r="D396" s="262"/>
      <c r="E396" s="262"/>
    </row>
    <row r="397" spans="2:5">
      <c r="B397" s="1" t="s">
        <v>162</v>
      </c>
      <c r="C397" s="1" t="s">
        <v>177</v>
      </c>
      <c r="D397" s="58" t="s">
        <v>81</v>
      </c>
      <c r="E397" s="58" t="s">
        <v>175</v>
      </c>
    </row>
    <row r="398" spans="2:5">
      <c r="B398" s="1" t="s">
        <v>163</v>
      </c>
      <c r="C398" s="44">
        <v>1.11E-8</v>
      </c>
      <c r="D398" s="57">
        <v>3.0667124555797766E-7</v>
      </c>
      <c r="E398" s="44">
        <v>1.0336265607264472E-10</v>
      </c>
    </row>
    <row r="399" spans="2:5">
      <c r="B399" s="1" t="s">
        <v>164</v>
      </c>
      <c r="C399" s="44">
        <v>6.91</v>
      </c>
      <c r="D399" s="57">
        <v>4.0200600232926211</v>
      </c>
      <c r="E399" s="44">
        <v>7.8022133938706016E-3</v>
      </c>
    </row>
    <row r="400" spans="2:5">
      <c r="B400" s="1" t="s">
        <v>165</v>
      </c>
      <c r="C400" s="44">
        <v>1.65E-3</v>
      </c>
      <c r="D400" s="57">
        <v>5.7934198345626655E-4</v>
      </c>
      <c r="E400" s="44">
        <v>1.4537457434733258E-6</v>
      </c>
    </row>
    <row r="401" spans="2:6">
      <c r="B401" s="1" t="s">
        <v>166</v>
      </c>
      <c r="C401" s="44">
        <v>1.64E-4</v>
      </c>
      <c r="D401" s="57">
        <v>1.1066831904918326E-4</v>
      </c>
      <c r="E401" s="44">
        <v>1.5604426787741203E-7</v>
      </c>
    </row>
    <row r="402" spans="2:6">
      <c r="B402" s="1" t="s">
        <v>167</v>
      </c>
      <c r="C402" s="44">
        <v>9.7900000000000005E-4</v>
      </c>
      <c r="D402" s="57">
        <v>7.7334488010272629E-4</v>
      </c>
      <c r="E402" s="44">
        <v>1.2937003405221339E-6</v>
      </c>
    </row>
    <row r="403" spans="2:6">
      <c r="B403" s="1" t="s">
        <v>168</v>
      </c>
      <c r="C403" s="44">
        <v>0.77300000000000002</v>
      </c>
      <c r="D403" s="57">
        <v>0.40467270881237488</v>
      </c>
      <c r="E403" s="44">
        <v>5.3881952326901249E-4</v>
      </c>
    </row>
    <row r="404" spans="2:6">
      <c r="B404" s="1" t="s">
        <v>169</v>
      </c>
      <c r="C404" s="44">
        <v>0.77300000000000002</v>
      </c>
      <c r="D404" s="57">
        <v>0.40467270881237488</v>
      </c>
      <c r="E404" s="44">
        <v>5.4615493757094208E-4</v>
      </c>
    </row>
    <row r="405" spans="2:6">
      <c r="B405" s="1" t="s">
        <v>170</v>
      </c>
      <c r="C405" s="44">
        <v>7.1999999999999995E-2</v>
      </c>
      <c r="D405" s="57">
        <v>1.5800235912443634E-2</v>
      </c>
      <c r="E405" s="44">
        <v>1.56711123723042E-5</v>
      </c>
    </row>
    <row r="406" spans="2:6">
      <c r="B406" s="1" t="s">
        <v>171</v>
      </c>
      <c r="C406" s="44">
        <v>40.4</v>
      </c>
      <c r="D406" s="57">
        <v>47.600710723564369</v>
      </c>
      <c r="E406" s="44">
        <v>4.9747446083995457E-2</v>
      </c>
    </row>
    <row r="407" spans="2:6">
      <c r="B407" s="1" t="s">
        <v>172</v>
      </c>
      <c r="C407" s="44">
        <v>6.4699999999999997E-13</v>
      </c>
      <c r="D407" s="57">
        <v>1.6066906560754917E-11</v>
      </c>
      <c r="E407" s="44">
        <v>8.8024971623155496E-16</v>
      </c>
    </row>
    <row r="408" spans="2:6">
      <c r="B408" s="1" t="s">
        <v>173</v>
      </c>
      <c r="C408" s="44">
        <v>2.31E-4</v>
      </c>
      <c r="D408" s="57">
        <v>3.86005763430585E-5</v>
      </c>
      <c r="E408" s="44">
        <v>1.3403802497162316E-7</v>
      </c>
    </row>
    <row r="409" spans="2:6">
      <c r="B409" s="1" t="s">
        <v>174</v>
      </c>
      <c r="C409" s="44">
        <v>5.62E-4</v>
      </c>
      <c r="D409" s="57">
        <v>5.7067518738614976E-4</v>
      </c>
      <c r="E409" s="44">
        <v>5.9950340522133935E-6</v>
      </c>
    </row>
    <row r="411" spans="2:6">
      <c r="B411" s="287" t="s">
        <v>528</v>
      </c>
      <c r="C411" s="287"/>
      <c r="D411" s="287"/>
      <c r="E411" s="287"/>
      <c r="F411" s="287"/>
    </row>
    <row r="412" spans="2:6">
      <c r="B412" s="115" t="s">
        <v>162</v>
      </c>
      <c r="C412" s="115" t="s">
        <v>177</v>
      </c>
      <c r="D412" s="58" t="s">
        <v>81</v>
      </c>
      <c r="E412" s="58" t="s">
        <v>175</v>
      </c>
      <c r="F412" s="1" t="s">
        <v>288</v>
      </c>
    </row>
    <row r="413" spans="2:6">
      <c r="B413" s="1" t="s">
        <v>163</v>
      </c>
      <c r="C413" s="57">
        <v>1.1346699999999999E-4</v>
      </c>
      <c r="D413" s="57">
        <v>2.8738823024054981E-7</v>
      </c>
      <c r="E413" s="44">
        <v>1.4460936426116838E-9</v>
      </c>
      <c r="F413" s="116">
        <v>1.8E-7</v>
      </c>
    </row>
    <row r="414" spans="2:6">
      <c r="B414" s="1" t="s">
        <v>164</v>
      </c>
      <c r="C414" s="57">
        <v>98.300000000000011</v>
      </c>
      <c r="D414" s="57">
        <v>3.7250640034364264</v>
      </c>
      <c r="E414" s="44">
        <v>0.10799939862542955</v>
      </c>
      <c r="F414" s="116">
        <v>1.88</v>
      </c>
    </row>
    <row r="415" spans="2:6">
      <c r="B415" s="1" t="s">
        <v>165</v>
      </c>
      <c r="C415" s="57">
        <v>1.6309999999999998E-2</v>
      </c>
      <c r="D415" s="57">
        <v>5.4182749140893464E-4</v>
      </c>
      <c r="E415" s="44">
        <v>1.9128707044673542E-5</v>
      </c>
      <c r="F415" s="116">
        <v>2.7399999999999999E-4</v>
      </c>
    </row>
    <row r="416" spans="2:6">
      <c r="B416" s="1" t="s">
        <v>166</v>
      </c>
      <c r="C416" s="57">
        <v>1.0809999999999999E-3</v>
      </c>
      <c r="D416" s="57">
        <v>1.0342315292096219E-4</v>
      </c>
      <c r="E416" s="44">
        <v>2.1142255154639176E-5</v>
      </c>
      <c r="F416" s="116">
        <v>5.3699999999999997E-5</v>
      </c>
    </row>
    <row r="417" spans="2:10">
      <c r="B417" s="1" t="s">
        <v>167</v>
      </c>
      <c r="C417" s="57">
        <v>2.503E-2</v>
      </c>
      <c r="D417" s="57">
        <v>7.1847057560137453E-4</v>
      </c>
      <c r="E417" s="44">
        <v>3.4413367697594504E-5</v>
      </c>
      <c r="F417" s="116">
        <v>3.86E-4</v>
      </c>
    </row>
    <row r="418" spans="2:10">
      <c r="B418" s="1" t="s">
        <v>168</v>
      </c>
      <c r="C418" s="57">
        <v>3.83</v>
      </c>
      <c r="D418" s="57">
        <v>0.36976065292096222</v>
      </c>
      <c r="E418" s="44">
        <v>7.4501280068728524E-3</v>
      </c>
      <c r="F418" s="116">
        <v>0.186</v>
      </c>
    </row>
    <row r="419" spans="2:10">
      <c r="B419" s="1" t="s">
        <v>169</v>
      </c>
      <c r="C419" s="57">
        <v>3.83</v>
      </c>
      <c r="D419" s="57">
        <v>0.36976065292096222</v>
      </c>
      <c r="E419" s="44">
        <v>7.5416529209622E-3</v>
      </c>
      <c r="F419" s="116">
        <v>0.186</v>
      </c>
    </row>
    <row r="420" spans="2:10">
      <c r="B420" s="1" t="s">
        <v>170</v>
      </c>
      <c r="C420" s="57">
        <v>0.13740000000000002</v>
      </c>
      <c r="D420" s="57">
        <v>1.4827036082474225E-2</v>
      </c>
      <c r="E420" s="44">
        <v>2.2057504295532645E-4</v>
      </c>
      <c r="F420" s="116">
        <v>7.4400000000000004E-3</v>
      </c>
    </row>
    <row r="421" spans="2:10">
      <c r="B421" s="1" t="s">
        <v>171</v>
      </c>
      <c r="C421" s="57">
        <v>196.4</v>
      </c>
      <c r="D421" s="57">
        <v>44.664158075601378</v>
      </c>
      <c r="E421" s="44">
        <v>0.71480957903780074</v>
      </c>
      <c r="F421" s="116">
        <v>22.3</v>
      </c>
    </row>
    <row r="422" spans="2:10">
      <c r="B422" s="1" t="s">
        <v>172</v>
      </c>
      <c r="C422" s="57">
        <v>2.8209999999999999E-11</v>
      </c>
      <c r="D422" s="57">
        <v>1.5101610824742272E-11</v>
      </c>
      <c r="E422" s="44">
        <v>1.2447388316151203E-14</v>
      </c>
      <c r="F422" s="116">
        <v>7.4699999999999995E-12</v>
      </c>
    </row>
    <row r="423" spans="2:10">
      <c r="B423" s="1" t="s">
        <v>173</v>
      </c>
      <c r="C423" s="57">
        <v>1.1949999999999999E-3</v>
      </c>
      <c r="D423" s="57">
        <v>3.6060816151202756E-5</v>
      </c>
      <c r="E423" s="44">
        <v>1.7481258591065291E-6</v>
      </c>
      <c r="F423" s="116">
        <v>1.8300000000000001E-5</v>
      </c>
    </row>
    <row r="424" spans="2:10">
      <c r="B424" s="1" t="s">
        <v>174</v>
      </c>
      <c r="C424" s="57">
        <v>1.072E-2</v>
      </c>
      <c r="D424" s="57">
        <v>5.0979377147766325E-4</v>
      </c>
      <c r="E424" s="44">
        <v>1.5833810137457047E-4</v>
      </c>
      <c r="F424" s="116">
        <v>2.7500000000000002E-4</v>
      </c>
    </row>
    <row r="425" spans="2:10" ht="15.75" thickBot="1"/>
    <row r="426" spans="2:10" ht="15.75" thickBot="1">
      <c r="B426" s="33" t="s">
        <v>178</v>
      </c>
      <c r="C426" s="32" t="s">
        <v>187</v>
      </c>
    </row>
    <row r="428" spans="2:10">
      <c r="B428" s="262" t="s">
        <v>551</v>
      </c>
      <c r="C428" s="262"/>
      <c r="D428" s="262"/>
      <c r="E428" s="262"/>
      <c r="F428" s="262"/>
      <c r="G428" s="262"/>
      <c r="H428" s="262"/>
      <c r="I428" s="262"/>
      <c r="J428" s="262"/>
    </row>
    <row r="429" spans="2:10">
      <c r="B429" s="262" t="s">
        <v>552</v>
      </c>
      <c r="C429" s="262"/>
      <c r="D429" s="262"/>
      <c r="E429" s="262"/>
      <c r="F429" s="262"/>
      <c r="G429" s="262"/>
      <c r="H429" s="262"/>
      <c r="I429" s="262"/>
      <c r="J429" s="262"/>
    </row>
    <row r="430" spans="2:10">
      <c r="B430" s="262" t="s">
        <v>553</v>
      </c>
      <c r="C430" s="262"/>
      <c r="D430" s="262"/>
      <c r="E430" s="262"/>
      <c r="F430" s="262"/>
      <c r="G430" s="262"/>
      <c r="H430" s="262"/>
      <c r="I430" s="262"/>
      <c r="J430" s="262"/>
    </row>
    <row r="431" spans="2:10">
      <c r="B431" s="42" t="s">
        <v>179</v>
      </c>
      <c r="C431" s="42" t="s">
        <v>33</v>
      </c>
      <c r="D431" s="42" t="s">
        <v>34</v>
      </c>
      <c r="E431" s="42" t="s">
        <v>35</v>
      </c>
      <c r="F431" s="42" t="s">
        <v>50</v>
      </c>
      <c r="G431" s="258" t="s">
        <v>196</v>
      </c>
      <c r="H431" s="259"/>
      <c r="I431" s="119" t="s">
        <v>189</v>
      </c>
      <c r="J431" s="42" t="s">
        <v>190</v>
      </c>
    </row>
    <row r="432" spans="2:10" ht="116.25" customHeight="1">
      <c r="B432" s="34" t="s">
        <v>2</v>
      </c>
      <c r="C432" s="36" t="s">
        <v>194</v>
      </c>
      <c r="D432" s="36" t="s">
        <v>289</v>
      </c>
      <c r="E432" s="36" t="s">
        <v>562</v>
      </c>
      <c r="F432" s="37"/>
      <c r="G432" s="45" t="s">
        <v>695</v>
      </c>
      <c r="H432" s="45" t="s">
        <v>696</v>
      </c>
      <c r="I432" s="120" t="s">
        <v>554</v>
      </c>
      <c r="J432" s="45" t="s">
        <v>563</v>
      </c>
    </row>
    <row r="433" spans="2:10" ht="30">
      <c r="B433" s="34" t="s">
        <v>180</v>
      </c>
      <c r="C433" s="36" t="s">
        <v>564</v>
      </c>
      <c r="D433" s="36" t="s">
        <v>200</v>
      </c>
      <c r="E433" s="36"/>
      <c r="F433" s="34"/>
      <c r="G433" s="52" t="s">
        <v>650</v>
      </c>
      <c r="H433" s="53" t="s">
        <v>651</v>
      </c>
      <c r="I433" s="120">
        <v>0</v>
      </c>
      <c r="J433" s="36" t="s">
        <v>295</v>
      </c>
    </row>
    <row r="434" spans="2:10" ht="87" customHeight="1">
      <c r="B434" s="34" t="s">
        <v>181</v>
      </c>
      <c r="C434" s="36" t="s">
        <v>566</v>
      </c>
      <c r="D434" s="36" t="s">
        <v>652</v>
      </c>
      <c r="E434" s="36" t="s">
        <v>653</v>
      </c>
      <c r="F434" s="36" t="s">
        <v>550</v>
      </c>
      <c r="G434" s="52" t="s">
        <v>778</v>
      </c>
      <c r="H434" s="53" t="s">
        <v>779</v>
      </c>
      <c r="I434" s="120" t="s">
        <v>780</v>
      </c>
      <c r="J434" s="36" t="s">
        <v>568</v>
      </c>
    </row>
    <row r="435" spans="2:10" ht="97.5" customHeight="1">
      <c r="B435" s="37" t="s">
        <v>182</v>
      </c>
      <c r="C435" s="36" t="s">
        <v>297</v>
      </c>
      <c r="D435" s="36" t="s">
        <v>569</v>
      </c>
      <c r="E435" s="36" t="s">
        <v>298</v>
      </c>
      <c r="F435" s="36" t="s">
        <v>299</v>
      </c>
      <c r="G435" s="36" t="s">
        <v>781</v>
      </c>
      <c r="H435" s="36" t="s">
        <v>782</v>
      </c>
      <c r="I435" s="120">
        <v>1</v>
      </c>
      <c r="J435" s="45" t="s">
        <v>609</v>
      </c>
    </row>
    <row r="436" spans="2:10" ht="163.5" customHeight="1">
      <c r="B436" s="34" t="s">
        <v>183</v>
      </c>
      <c r="C436" s="36" t="s">
        <v>297</v>
      </c>
      <c r="D436" s="36" t="s">
        <v>570</v>
      </c>
      <c r="E436" s="36" t="s">
        <v>298</v>
      </c>
      <c r="F436" s="36" t="s">
        <v>299</v>
      </c>
      <c r="G436" s="36" t="s">
        <v>783</v>
      </c>
      <c r="H436" s="36" t="s">
        <v>784</v>
      </c>
      <c r="I436" s="120" t="s">
        <v>785</v>
      </c>
      <c r="J436" s="45" t="s">
        <v>654</v>
      </c>
    </row>
    <row r="437" spans="2:10" ht="169.5" customHeight="1">
      <c r="B437" s="34" t="s">
        <v>184</v>
      </c>
      <c r="C437" s="36" t="s">
        <v>297</v>
      </c>
      <c r="D437" s="36" t="s">
        <v>571</v>
      </c>
      <c r="E437" s="36" t="s">
        <v>298</v>
      </c>
      <c r="F437" s="36" t="s">
        <v>299</v>
      </c>
      <c r="G437" s="36" t="s">
        <v>786</v>
      </c>
      <c r="H437" s="36" t="s">
        <v>787</v>
      </c>
      <c r="I437" s="120" t="s">
        <v>788</v>
      </c>
      <c r="J437" s="143" t="s">
        <v>655</v>
      </c>
    </row>
    <row r="444" spans="2:10">
      <c r="C444" s="208"/>
      <c r="D444" s="208"/>
    </row>
    <row r="445" spans="2:10">
      <c r="C445" s="208"/>
      <c r="D445" s="208"/>
    </row>
    <row r="446" spans="2:10">
      <c r="C446" s="208"/>
      <c r="D446" s="208"/>
    </row>
  </sheetData>
  <mergeCells count="293">
    <mergeCell ref="B411:F411"/>
    <mergeCell ref="B376:E376"/>
    <mergeCell ref="B381:E381"/>
    <mergeCell ref="B396:E396"/>
    <mergeCell ref="B430:J430"/>
    <mergeCell ref="G431:H431"/>
    <mergeCell ref="B335:C335"/>
    <mergeCell ref="E335:F335"/>
    <mergeCell ref="B336:C336"/>
    <mergeCell ref="E336:F336"/>
    <mergeCell ref="B339:E339"/>
    <mergeCell ref="B351:E351"/>
    <mergeCell ref="B357:E357"/>
    <mergeCell ref="B367:E367"/>
    <mergeCell ref="B373:E373"/>
    <mergeCell ref="B329:C329"/>
    <mergeCell ref="E329:F329"/>
    <mergeCell ref="B330:C330"/>
    <mergeCell ref="E330:F330"/>
    <mergeCell ref="B331:C331"/>
    <mergeCell ref="E331:F331"/>
    <mergeCell ref="B333:C333"/>
    <mergeCell ref="E333:F333"/>
    <mergeCell ref="B334:C334"/>
    <mergeCell ref="E334:F334"/>
    <mergeCell ref="B323:C323"/>
    <mergeCell ref="E323:F323"/>
    <mergeCell ref="B324:C324"/>
    <mergeCell ref="E324:F324"/>
    <mergeCell ref="B325:C325"/>
    <mergeCell ref="E325:F325"/>
    <mergeCell ref="B326:C326"/>
    <mergeCell ref="E326:F326"/>
    <mergeCell ref="B328:C328"/>
    <mergeCell ref="E328:F328"/>
    <mergeCell ref="B303:C303"/>
    <mergeCell ref="B304:C304"/>
    <mergeCell ref="B305:C305"/>
    <mergeCell ref="B306:C306"/>
    <mergeCell ref="B307:C307"/>
    <mergeCell ref="B308:C308"/>
    <mergeCell ref="B309:C309"/>
    <mergeCell ref="B313:E313"/>
    <mergeCell ref="B318:E318"/>
    <mergeCell ref="B310:C310"/>
    <mergeCell ref="E310:F310"/>
    <mergeCell ref="B311:C311"/>
    <mergeCell ref="E311:F311"/>
    <mergeCell ref="E309:F309"/>
    <mergeCell ref="E308:F308"/>
    <mergeCell ref="E307:F307"/>
    <mergeCell ref="E306:F306"/>
    <mergeCell ref="E305:F305"/>
    <mergeCell ref="E304:F304"/>
    <mergeCell ref="E303:F303"/>
    <mergeCell ref="E295:F295"/>
    <mergeCell ref="E294:F294"/>
    <mergeCell ref="E293:F293"/>
    <mergeCell ref="E292:F292"/>
    <mergeCell ref="B292:C292"/>
    <mergeCell ref="B293:C293"/>
    <mergeCell ref="B294:C294"/>
    <mergeCell ref="B295:C295"/>
    <mergeCell ref="B297:C297"/>
    <mergeCell ref="B296:C296"/>
    <mergeCell ref="E296:F296"/>
    <mergeCell ref="E302:F302"/>
    <mergeCell ref="E301:F301"/>
    <mergeCell ref="E300:F300"/>
    <mergeCell ref="E299:F299"/>
    <mergeCell ref="E298:F298"/>
    <mergeCell ref="E297:F297"/>
    <mergeCell ref="B298:C298"/>
    <mergeCell ref="B299:C299"/>
    <mergeCell ref="B300:C300"/>
    <mergeCell ref="B301:C301"/>
    <mergeCell ref="B302:C302"/>
    <mergeCell ref="B287:F287"/>
    <mergeCell ref="B288:C288"/>
    <mergeCell ref="E288:F288"/>
    <mergeCell ref="B289:C289"/>
    <mergeCell ref="E289:F289"/>
    <mergeCell ref="B290:C290"/>
    <mergeCell ref="E290:F290"/>
    <mergeCell ref="B291:C291"/>
    <mergeCell ref="E291:F291"/>
    <mergeCell ref="B266:C266"/>
    <mergeCell ref="E266:F266"/>
    <mergeCell ref="B270:C270"/>
    <mergeCell ref="B271:C271"/>
    <mergeCell ref="B272:C272"/>
    <mergeCell ref="E270:F270"/>
    <mergeCell ref="E271:F271"/>
    <mergeCell ref="E272:F272"/>
    <mergeCell ref="B274:C274"/>
    <mergeCell ref="E274:F274"/>
    <mergeCell ref="B268:C268"/>
    <mergeCell ref="E268:F268"/>
    <mergeCell ref="B269:C269"/>
    <mergeCell ref="E269:F269"/>
    <mergeCell ref="B273:C273"/>
    <mergeCell ref="E273:F273"/>
    <mergeCell ref="B261:C261"/>
    <mergeCell ref="E261:F261"/>
    <mergeCell ref="E259:F259"/>
    <mergeCell ref="B263:C263"/>
    <mergeCell ref="E263:F263"/>
    <mergeCell ref="B264:C264"/>
    <mergeCell ref="E264:F264"/>
    <mergeCell ref="B265:C265"/>
    <mergeCell ref="E265:F265"/>
    <mergeCell ref="B255:C255"/>
    <mergeCell ref="E255:F255"/>
    <mergeCell ref="B256:C256"/>
    <mergeCell ref="E256:F256"/>
    <mergeCell ref="B257:C257"/>
    <mergeCell ref="E257:F257"/>
    <mergeCell ref="B258:C258"/>
    <mergeCell ref="E258:F258"/>
    <mergeCell ref="B260:C260"/>
    <mergeCell ref="E260:F260"/>
    <mergeCell ref="B250:C250"/>
    <mergeCell ref="E250:F250"/>
    <mergeCell ref="B251:C251"/>
    <mergeCell ref="E251:F251"/>
    <mergeCell ref="B252:C252"/>
    <mergeCell ref="E252:F252"/>
    <mergeCell ref="B253:C253"/>
    <mergeCell ref="E253:F253"/>
    <mergeCell ref="B254:C254"/>
    <mergeCell ref="E254:F254"/>
    <mergeCell ref="B246:C246"/>
    <mergeCell ref="E246:F246"/>
    <mergeCell ref="B247:C247"/>
    <mergeCell ref="E247:F247"/>
    <mergeCell ref="B248:C248"/>
    <mergeCell ref="E248:F248"/>
    <mergeCell ref="B244:C244"/>
    <mergeCell ref="E244:F244"/>
    <mergeCell ref="B249:C249"/>
    <mergeCell ref="E249:F249"/>
    <mergeCell ref="B241:C241"/>
    <mergeCell ref="E241:F241"/>
    <mergeCell ref="B242:C242"/>
    <mergeCell ref="E242:F242"/>
    <mergeCell ref="B243:C243"/>
    <mergeCell ref="E243:F243"/>
    <mergeCell ref="B235:C235"/>
    <mergeCell ref="E235:F235"/>
    <mergeCell ref="B236:C236"/>
    <mergeCell ref="E236:F236"/>
    <mergeCell ref="B237:C237"/>
    <mergeCell ref="E237:F237"/>
    <mergeCell ref="B238:C238"/>
    <mergeCell ref="E238:F238"/>
    <mergeCell ref="B239:C239"/>
    <mergeCell ref="E239:F239"/>
    <mergeCell ref="E230:F230"/>
    <mergeCell ref="E231:F231"/>
    <mergeCell ref="B227:C227"/>
    <mergeCell ref="B228:C228"/>
    <mergeCell ref="B229:C229"/>
    <mergeCell ref="B230:C230"/>
    <mergeCell ref="B231:C231"/>
    <mergeCell ref="B240:C240"/>
    <mergeCell ref="E240:F240"/>
    <mergeCell ref="B232:C232"/>
    <mergeCell ref="E232:F232"/>
    <mergeCell ref="B233:C233"/>
    <mergeCell ref="E233:F233"/>
    <mergeCell ref="E228:F228"/>
    <mergeCell ref="E229:F229"/>
    <mergeCell ref="J168:J169"/>
    <mergeCell ref="I164:I166"/>
    <mergeCell ref="B195:E195"/>
    <mergeCell ref="B174:M174"/>
    <mergeCell ref="B181:E181"/>
    <mergeCell ref="B185:E185"/>
    <mergeCell ref="B189:E189"/>
    <mergeCell ref="B192:E192"/>
    <mergeCell ref="J164:J166"/>
    <mergeCell ref="B149:J149"/>
    <mergeCell ref="B162:J162"/>
    <mergeCell ref="G150:H150"/>
    <mergeCell ref="B98:E98"/>
    <mergeCell ref="B102:E102"/>
    <mergeCell ref="B106:E106"/>
    <mergeCell ref="B109:E109"/>
    <mergeCell ref="B115:E115"/>
    <mergeCell ref="B130:E130"/>
    <mergeCell ref="C151:C154"/>
    <mergeCell ref="D151:D154"/>
    <mergeCell ref="E151:E154"/>
    <mergeCell ref="F151:F154"/>
    <mergeCell ref="J151:J154"/>
    <mergeCell ref="B151:B154"/>
    <mergeCell ref="I151:I154"/>
    <mergeCell ref="B63:E63"/>
    <mergeCell ref="B75:E75"/>
    <mergeCell ref="B81:E81"/>
    <mergeCell ref="B91:E91"/>
    <mergeCell ref="B58:C58"/>
    <mergeCell ref="E58:F58"/>
    <mergeCell ref="B59:C59"/>
    <mergeCell ref="E59:F59"/>
    <mergeCell ref="B60:C60"/>
    <mergeCell ref="E60:F60"/>
    <mergeCell ref="B53:C53"/>
    <mergeCell ref="E53:F53"/>
    <mergeCell ref="E50:F50"/>
    <mergeCell ref="B54:C54"/>
    <mergeCell ref="E54:F54"/>
    <mergeCell ref="B55:C55"/>
    <mergeCell ref="E55:F55"/>
    <mergeCell ref="B57:C57"/>
    <mergeCell ref="E57:F57"/>
    <mergeCell ref="B47:C47"/>
    <mergeCell ref="E47:F47"/>
    <mergeCell ref="E48:F48"/>
    <mergeCell ref="E49:F49"/>
    <mergeCell ref="B48:C48"/>
    <mergeCell ref="B49:C49"/>
    <mergeCell ref="B50:C50"/>
    <mergeCell ref="B52:C52"/>
    <mergeCell ref="E52:F52"/>
    <mergeCell ref="C42:M42"/>
    <mergeCell ref="B23:C23"/>
    <mergeCell ref="D23:E23"/>
    <mergeCell ref="B27:B30"/>
    <mergeCell ref="C27:C30"/>
    <mergeCell ref="B35:M35"/>
    <mergeCell ref="C41:M41"/>
    <mergeCell ref="C40:M40"/>
    <mergeCell ref="C43:M43"/>
    <mergeCell ref="B216:C216"/>
    <mergeCell ref="E216:F216"/>
    <mergeCell ref="B217:C217"/>
    <mergeCell ref="E217:F217"/>
    <mergeCell ref="B219:C219"/>
    <mergeCell ref="E219:F219"/>
    <mergeCell ref="E221:F221"/>
    <mergeCell ref="B222:C222"/>
    <mergeCell ref="E222:F222"/>
    <mergeCell ref="B221:C221"/>
    <mergeCell ref="B223:C223"/>
    <mergeCell ref="E223:F223"/>
    <mergeCell ref="B224:C224"/>
    <mergeCell ref="E224:F224"/>
    <mergeCell ref="B225:C225"/>
    <mergeCell ref="E225:F225"/>
    <mergeCell ref="B226:C226"/>
    <mergeCell ref="E226:F226"/>
    <mergeCell ref="E227:F227"/>
    <mergeCell ref="C444:C446"/>
    <mergeCell ref="D444:D446"/>
    <mergeCell ref="B429:J429"/>
    <mergeCell ref="B428:J428"/>
    <mergeCell ref="E212:F212"/>
    <mergeCell ref="B199:E199"/>
    <mergeCell ref="B220:C220"/>
    <mergeCell ref="E220:F220"/>
    <mergeCell ref="B214:C214"/>
    <mergeCell ref="E214:F214"/>
    <mergeCell ref="B215:C215"/>
    <mergeCell ref="E215:F215"/>
    <mergeCell ref="B276:E276"/>
    <mergeCell ref="B282:E282"/>
    <mergeCell ref="E207:F207"/>
    <mergeCell ref="E208:F208"/>
    <mergeCell ref="E209:F209"/>
    <mergeCell ref="E210:F210"/>
    <mergeCell ref="B205:C205"/>
    <mergeCell ref="E205:F205"/>
    <mergeCell ref="B206:C206"/>
    <mergeCell ref="E206:F206"/>
    <mergeCell ref="B211:C211"/>
    <mergeCell ref="E211:F211"/>
    <mergeCell ref="B210:C210"/>
    <mergeCell ref="B212:C212"/>
    <mergeCell ref="B168:B169"/>
    <mergeCell ref="C168:C169"/>
    <mergeCell ref="D168:D169"/>
    <mergeCell ref="E168:E169"/>
    <mergeCell ref="F168:F169"/>
    <mergeCell ref="G163:H163"/>
    <mergeCell ref="B164:B166"/>
    <mergeCell ref="C164:C166"/>
    <mergeCell ref="D164:D166"/>
    <mergeCell ref="E164:E166"/>
    <mergeCell ref="F164:F166"/>
    <mergeCell ref="B207:C207"/>
    <mergeCell ref="B208:C208"/>
    <mergeCell ref="B209:C209"/>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31"/>
  <sheetViews>
    <sheetView topLeftCell="C150" zoomScale="50" zoomScaleNormal="50" zoomScaleSheetLayoutView="50" workbookViewId="0">
      <selection activeCell="G153" sqref="G153"/>
    </sheetView>
  </sheetViews>
  <sheetFormatPr baseColWidth="10" defaultColWidth="10.85546875" defaultRowHeight="15"/>
  <cols>
    <col min="2" max="2" width="77.140625" customWidth="1"/>
    <col min="3" max="3" width="58.140625" customWidth="1"/>
    <col min="4" max="4" width="75.140625" customWidth="1"/>
    <col min="5" max="5" width="78.85546875" customWidth="1"/>
    <col min="6" max="6" width="35.85546875" customWidth="1"/>
    <col min="7" max="7" width="135.85546875" customWidth="1"/>
    <col min="8" max="8" width="22.42578125" customWidth="1"/>
    <col min="9" max="9" width="65.140625" customWidth="1"/>
    <col min="10" max="10" width="68" customWidth="1"/>
    <col min="11" max="11" width="38.7109375" customWidth="1"/>
    <col min="17" max="17" width="21.140625" customWidth="1"/>
  </cols>
  <sheetData>
    <row r="2" spans="2:2" ht="21">
      <c r="B2" s="11" t="s">
        <v>204</v>
      </c>
    </row>
    <row r="26" spans="2:7" ht="15.75" thickBot="1"/>
    <row r="27" spans="2:7" ht="15.75" thickBot="1">
      <c r="B27" s="272" t="s">
        <v>206</v>
      </c>
      <c r="C27" s="273"/>
      <c r="D27" s="274" t="s">
        <v>205</v>
      </c>
      <c r="E27" s="275"/>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14" t="s">
        <v>211</v>
      </c>
      <c r="C31" s="314">
        <v>160</v>
      </c>
      <c r="D31" s="31" t="s">
        <v>601</v>
      </c>
      <c r="E31" s="31">
        <v>6</v>
      </c>
    </row>
    <row r="32" spans="2:7" ht="20.25" customHeight="1" thickBot="1">
      <c r="B32" s="315"/>
      <c r="C32" s="315"/>
      <c r="D32" s="28" t="s">
        <v>602</v>
      </c>
      <c r="E32" s="28">
        <v>280</v>
      </c>
    </row>
    <row r="33" spans="2:13" ht="21" customHeight="1" thickBot="1">
      <c r="B33" s="315"/>
      <c r="C33" s="315"/>
      <c r="D33" s="31" t="s">
        <v>603</v>
      </c>
      <c r="E33" s="31">
        <v>95</v>
      </c>
    </row>
    <row r="34" spans="2:13" ht="21" customHeight="1" thickBot="1">
      <c r="B34" s="315"/>
      <c r="C34" s="315"/>
      <c r="D34" s="28" t="s">
        <v>604</v>
      </c>
      <c r="E34" s="28">
        <v>160</v>
      </c>
    </row>
    <row r="35" spans="2:13" ht="21" customHeight="1" thickBot="1">
      <c r="B35" s="316"/>
      <c r="C35" s="316"/>
      <c r="D35" s="31" t="s">
        <v>605</v>
      </c>
      <c r="E35" s="31">
        <v>9.8000000000000007</v>
      </c>
    </row>
    <row r="37" spans="2:13" ht="15.75" thickBot="1"/>
    <row r="38" spans="2:13">
      <c r="B38" s="282" t="s">
        <v>213</v>
      </c>
      <c r="C38" s="283"/>
      <c r="D38" s="283"/>
      <c r="E38" s="283"/>
      <c r="F38" s="283"/>
      <c r="G38" s="283"/>
      <c r="H38" s="283"/>
      <c r="I38" s="283"/>
      <c r="J38" s="283"/>
      <c r="K38" s="283"/>
      <c r="L38" s="283"/>
      <c r="M38" s="284"/>
    </row>
    <row r="39" spans="2:13" ht="15.75" thickBot="1"/>
    <row r="40" spans="2:13" ht="18.75" thickBot="1">
      <c r="B40" s="33" t="s">
        <v>77</v>
      </c>
      <c r="C40" s="32" t="s">
        <v>78</v>
      </c>
    </row>
    <row r="41" spans="2:13" ht="15.75" thickBot="1"/>
    <row r="42" spans="2:13" ht="15.75" thickBot="1">
      <c r="B42" s="317" t="s">
        <v>239</v>
      </c>
      <c r="C42" s="318"/>
      <c r="D42" s="318"/>
      <c r="E42" s="319"/>
    </row>
    <row r="44" spans="2:13">
      <c r="B44" s="262" t="s">
        <v>101</v>
      </c>
      <c r="C44" s="262"/>
      <c r="D44" s="262"/>
      <c r="E44" s="262"/>
    </row>
    <row r="45" spans="2:13">
      <c r="B45" s="42" t="s">
        <v>66</v>
      </c>
      <c r="C45" s="42" t="s">
        <v>244</v>
      </c>
      <c r="D45" s="42" t="s">
        <v>87</v>
      </c>
      <c r="E45" s="42" t="s">
        <v>102</v>
      </c>
      <c r="G45" s="46"/>
    </row>
    <row r="46" spans="2:13">
      <c r="B46" s="59" t="s">
        <v>240</v>
      </c>
      <c r="C46" s="55">
        <f>0.8*E29</f>
        <v>1057.6000000000001</v>
      </c>
      <c r="D46" s="55" t="s">
        <v>243</v>
      </c>
      <c r="E46" s="320" t="s">
        <v>246</v>
      </c>
    </row>
    <row r="47" spans="2:13">
      <c r="B47" s="59" t="s">
        <v>241</v>
      </c>
      <c r="C47" s="55">
        <f>0.8*E30</f>
        <v>264.40000000000003</v>
      </c>
      <c r="D47" s="55" t="s">
        <v>243</v>
      </c>
      <c r="E47" s="321"/>
      <c r="G47" s="66"/>
    </row>
    <row r="48" spans="2:13" ht="30">
      <c r="B48" s="59" t="s">
        <v>242</v>
      </c>
      <c r="C48" s="55">
        <f>E31</f>
        <v>6</v>
      </c>
      <c r="D48" s="55" t="s">
        <v>243</v>
      </c>
      <c r="E48" s="59" t="s">
        <v>247</v>
      </c>
    </row>
    <row r="49" spans="2:8">
      <c r="B49" s="268" t="s">
        <v>123</v>
      </c>
      <c r="C49" s="268"/>
      <c r="D49" s="268"/>
      <c r="E49" s="268"/>
    </row>
    <row r="50" spans="2:8">
      <c r="B50" s="59" t="s">
        <v>245</v>
      </c>
      <c r="C50" s="55">
        <f>C46+C47</f>
        <v>1322.0000000000002</v>
      </c>
      <c r="D50" s="55" t="s">
        <v>243</v>
      </c>
      <c r="E50" s="58" t="s">
        <v>246</v>
      </c>
    </row>
    <row r="51" spans="2:8" ht="30">
      <c r="B51" s="59" t="s">
        <v>242</v>
      </c>
      <c r="C51" s="59">
        <f>C48</f>
        <v>6</v>
      </c>
      <c r="D51" s="55" t="s">
        <v>243</v>
      </c>
      <c r="E51" s="59" t="s">
        <v>247</v>
      </c>
    </row>
    <row r="53" spans="2:8" ht="15.75" thickBot="1"/>
    <row r="54" spans="2:8" ht="15.75" thickBot="1">
      <c r="B54" s="317" t="s">
        <v>248</v>
      </c>
      <c r="C54" s="318"/>
      <c r="D54" s="318"/>
      <c r="E54" s="319"/>
    </row>
    <row r="56" spans="2:8">
      <c r="B56" s="118" t="s">
        <v>249</v>
      </c>
    </row>
    <row r="57" spans="2:8">
      <c r="B57" s="268" t="s">
        <v>101</v>
      </c>
      <c r="C57" s="268"/>
      <c r="D57" s="268"/>
      <c r="E57" s="268"/>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30">
      <c r="B61" s="67" t="s">
        <v>256</v>
      </c>
      <c r="C61" s="70">
        <f>(0.0054+0.0072)*C59</f>
        <v>27.761580000000002</v>
      </c>
      <c r="D61" s="71" t="s">
        <v>535</v>
      </c>
      <c r="E61" s="34" t="s">
        <v>255</v>
      </c>
      <c r="F61" s="72"/>
    </row>
    <row r="62" spans="2:8">
      <c r="B62" s="268" t="s">
        <v>123</v>
      </c>
      <c r="C62" s="268"/>
      <c r="D62" s="268"/>
      <c r="E62" s="268"/>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30">
      <c r="B64" s="59" t="s">
        <v>251</v>
      </c>
      <c r="C64" s="59">
        <f>C59*0.025</f>
        <v>55.08250000000001</v>
      </c>
      <c r="D64" s="59" t="s">
        <v>538</v>
      </c>
      <c r="E64" s="59"/>
      <c r="G64" s="48" t="s">
        <v>261</v>
      </c>
      <c r="H64" s="48">
        <f>(11.31/1160.2)*C59</f>
        <v>21.478471815204276</v>
      </c>
    </row>
    <row r="66" spans="2:5" ht="33" customHeight="1">
      <c r="B66" s="322" t="s">
        <v>533</v>
      </c>
      <c r="C66" s="322"/>
      <c r="D66" s="322"/>
      <c r="E66" s="322"/>
    </row>
    <row r="67" spans="2:5">
      <c r="B67" s="268" t="s">
        <v>101</v>
      </c>
      <c r="C67" s="268"/>
      <c r="D67" s="268"/>
      <c r="E67" s="268"/>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68" t="s">
        <v>123</v>
      </c>
      <c r="C73" s="268"/>
      <c r="D73" s="268"/>
      <c r="E73" s="268"/>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23" t="s">
        <v>274</v>
      </c>
      <c r="C79" s="322"/>
      <c r="D79" s="322"/>
      <c r="E79" s="322"/>
    </row>
    <row r="80" spans="2:5">
      <c r="B80" s="268" t="s">
        <v>101</v>
      </c>
      <c r="C80" s="268"/>
      <c r="D80" s="268"/>
      <c r="E80" s="268"/>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68" t="s">
        <v>123</v>
      </c>
      <c r="C84" s="268"/>
      <c r="D84" s="268"/>
      <c r="E84" s="268"/>
    </row>
    <row r="85" spans="2:5">
      <c r="B85" s="59" t="s">
        <v>276</v>
      </c>
      <c r="C85" s="55">
        <f>(950/1000)*C82</f>
        <v>8.4990989999999993</v>
      </c>
      <c r="D85" s="55" t="s">
        <v>269</v>
      </c>
      <c r="E85" s="58"/>
    </row>
    <row r="86" spans="2:5">
      <c r="B86" s="59" t="s">
        <v>251</v>
      </c>
      <c r="C86" s="59">
        <f>(50/1000)*C82</f>
        <v>0.44732100000000002</v>
      </c>
      <c r="D86" s="55" t="s">
        <v>270</v>
      </c>
      <c r="E86" s="76"/>
    </row>
    <row r="87" spans="2:5" ht="15.75" thickBot="1"/>
    <row r="88" spans="2:5" ht="15.75" thickBot="1">
      <c r="B88" s="317" t="s">
        <v>277</v>
      </c>
      <c r="C88" s="318"/>
      <c r="D88" s="318"/>
      <c r="E88" s="319"/>
    </row>
    <row r="90" spans="2:5">
      <c r="B90" s="268" t="s">
        <v>101</v>
      </c>
      <c r="C90" s="268"/>
      <c r="D90" s="268"/>
      <c r="E90" s="268"/>
    </row>
    <row r="91" spans="2:5">
      <c r="B91" s="42" t="s">
        <v>66</v>
      </c>
      <c r="C91" s="42" t="s">
        <v>253</v>
      </c>
      <c r="D91" s="42" t="s">
        <v>87</v>
      </c>
      <c r="E91" s="42" t="s">
        <v>102</v>
      </c>
    </row>
    <row r="92" spans="2:5">
      <c r="B92" s="59" t="s">
        <v>278</v>
      </c>
      <c r="C92" s="55">
        <f>C64</f>
        <v>55.08250000000001</v>
      </c>
      <c r="D92" s="59" t="s">
        <v>243</v>
      </c>
      <c r="E92" s="76" t="s">
        <v>539</v>
      </c>
    </row>
    <row r="93" spans="2:5">
      <c r="B93" s="268" t="s">
        <v>123</v>
      </c>
      <c r="C93" s="268"/>
      <c r="D93" s="268"/>
      <c r="E93" s="268"/>
    </row>
    <row r="94" spans="2:5">
      <c r="B94" s="59" t="s">
        <v>279</v>
      </c>
      <c r="C94" s="55">
        <f>C92</f>
        <v>55.08250000000001</v>
      </c>
      <c r="D94" s="55" t="s">
        <v>269</v>
      </c>
      <c r="E94" s="58"/>
    </row>
    <row r="96" spans="2:5">
      <c r="B96" s="268" t="s">
        <v>101</v>
      </c>
      <c r="C96" s="268"/>
      <c r="D96" s="268"/>
      <c r="E96" s="268"/>
    </row>
    <row r="97" spans="2:17">
      <c r="B97" s="42" t="s">
        <v>66</v>
      </c>
      <c r="C97" s="42" t="s">
        <v>253</v>
      </c>
      <c r="D97" s="42" t="s">
        <v>87</v>
      </c>
      <c r="E97" s="42" t="s">
        <v>102</v>
      </c>
    </row>
    <row r="98" spans="2:17">
      <c r="B98" s="59" t="s">
        <v>280</v>
      </c>
      <c r="C98" s="55">
        <f>C77+C86</f>
        <v>2.240901</v>
      </c>
      <c r="D98" s="59" t="s">
        <v>243</v>
      </c>
      <c r="E98" s="76" t="s">
        <v>539</v>
      </c>
    </row>
    <row r="99" spans="2:17">
      <c r="B99" s="268"/>
      <c r="C99" s="268"/>
      <c r="D99" s="268"/>
      <c r="E99" s="268"/>
    </row>
    <row r="100" spans="2:17">
      <c r="B100" s="59" t="s">
        <v>279</v>
      </c>
      <c r="C100" s="55">
        <f>C98</f>
        <v>2.240901</v>
      </c>
      <c r="D100" s="55" t="s">
        <v>269</v>
      </c>
      <c r="E100" s="58"/>
    </row>
    <row r="101" spans="2:17" ht="15.75" thickBot="1"/>
    <row r="102" spans="2:17" ht="34.5" customHeight="1" thickBot="1">
      <c r="B102" s="317" t="s">
        <v>282</v>
      </c>
      <c r="C102" s="318"/>
      <c r="D102" s="318"/>
      <c r="E102" s="319"/>
      <c r="G102" s="324" t="s">
        <v>281</v>
      </c>
      <c r="H102" s="325"/>
      <c r="I102" s="325"/>
      <c r="J102" s="325"/>
      <c r="K102" s="325"/>
      <c r="L102" s="325"/>
      <c r="M102" s="325"/>
      <c r="N102" s="325"/>
      <c r="O102" s="325"/>
      <c r="P102" s="325"/>
      <c r="Q102" s="325"/>
    </row>
    <row r="104" spans="2:17">
      <c r="B104" s="268" t="s">
        <v>101</v>
      </c>
      <c r="C104" s="268"/>
      <c r="D104" s="268"/>
      <c r="E104" s="268"/>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68" t="s">
        <v>123</v>
      </c>
      <c r="C113" s="268"/>
      <c r="D113" s="268"/>
      <c r="E113" s="268"/>
    </row>
    <row r="114" spans="2:6">
      <c r="B114" s="59" t="s">
        <v>205</v>
      </c>
      <c r="C114" s="55">
        <f>C106+C107+C108+C109+C110+C111+C112</f>
        <v>2203.3000000000002</v>
      </c>
      <c r="D114" s="55" t="s">
        <v>243</v>
      </c>
      <c r="E114" s="58"/>
    </row>
    <row r="116" spans="2:6">
      <c r="B116" s="38" t="s">
        <v>176</v>
      </c>
    </row>
    <row r="118" spans="2:6">
      <c r="B118" s="268" t="s">
        <v>213</v>
      </c>
      <c r="C118" s="268"/>
      <c r="D118" s="268"/>
      <c r="E118" s="268"/>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30">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75" thickBot="1"/>
    <row r="133" spans="2:11" ht="15.75" thickBot="1">
      <c r="B133" s="33" t="s">
        <v>178</v>
      </c>
      <c r="C133" s="32" t="s">
        <v>187</v>
      </c>
    </row>
    <row r="135" spans="2:11">
      <c r="B135" s="262" t="s">
        <v>213</v>
      </c>
      <c r="C135" s="262"/>
      <c r="D135" s="262"/>
      <c r="E135" s="262"/>
      <c r="F135" s="262"/>
      <c r="G135" s="262"/>
      <c r="H135" s="262"/>
      <c r="I135" s="262"/>
      <c r="J135" s="262"/>
    </row>
    <row r="136" spans="2:11">
      <c r="B136" s="42" t="s">
        <v>179</v>
      </c>
      <c r="C136" s="42" t="s">
        <v>33</v>
      </c>
      <c r="D136" s="42" t="s">
        <v>34</v>
      </c>
      <c r="E136" s="42" t="s">
        <v>35</v>
      </c>
      <c r="F136" s="42" t="s">
        <v>50</v>
      </c>
      <c r="G136" s="258" t="s">
        <v>196</v>
      </c>
      <c r="H136" s="259"/>
      <c r="I136" s="119" t="s">
        <v>189</v>
      </c>
      <c r="J136" s="42" t="s">
        <v>190</v>
      </c>
      <c r="K136" s="1"/>
    </row>
    <row r="137" spans="2:11" ht="117" customHeight="1">
      <c r="B137" s="308" t="s">
        <v>2</v>
      </c>
      <c r="C137" s="193" t="s">
        <v>194</v>
      </c>
      <c r="D137" s="193" t="s">
        <v>289</v>
      </c>
      <c r="E137" s="193" t="s">
        <v>562</v>
      </c>
      <c r="F137" s="308"/>
      <c r="G137" s="140" t="s">
        <v>684</v>
      </c>
      <c r="H137" s="54" t="s">
        <v>291</v>
      </c>
      <c r="I137" s="294" t="s">
        <v>293</v>
      </c>
      <c r="J137" s="193" t="s">
        <v>574</v>
      </c>
      <c r="K137" s="142"/>
    </row>
    <row r="138" spans="2:11" ht="45">
      <c r="B138" s="309"/>
      <c r="C138" s="194"/>
      <c r="D138" s="194"/>
      <c r="E138" s="194"/>
      <c r="F138" s="309"/>
      <c r="G138" s="51" t="s">
        <v>623</v>
      </c>
      <c r="H138" s="54" t="s">
        <v>292</v>
      </c>
      <c r="I138" s="296"/>
      <c r="J138" s="194"/>
      <c r="K138" s="1"/>
    </row>
    <row r="139" spans="2:11" ht="105">
      <c r="B139" s="34" t="s">
        <v>180</v>
      </c>
      <c r="C139" s="59" t="s">
        <v>624</v>
      </c>
      <c r="D139" s="36" t="s">
        <v>200</v>
      </c>
      <c r="E139" s="36"/>
      <c r="F139" s="34"/>
      <c r="G139" s="52" t="s">
        <v>625</v>
      </c>
      <c r="H139" s="36" t="s">
        <v>291</v>
      </c>
      <c r="I139" s="120">
        <v>0.6</v>
      </c>
      <c r="J139" s="36" t="s">
        <v>575</v>
      </c>
      <c r="K139" s="1"/>
    </row>
    <row r="140" spans="2:11" ht="138.75" customHeight="1">
      <c r="B140" s="34" t="s">
        <v>181</v>
      </c>
      <c r="C140" s="36" t="s">
        <v>566</v>
      </c>
      <c r="D140" s="45" t="s">
        <v>202</v>
      </c>
      <c r="E140" s="45" t="s">
        <v>296</v>
      </c>
      <c r="F140" s="37" t="s">
        <v>550</v>
      </c>
      <c r="G140" s="24" t="s">
        <v>827</v>
      </c>
      <c r="H140" s="36" t="s">
        <v>828</v>
      </c>
      <c r="I140" s="120" t="s">
        <v>748</v>
      </c>
      <c r="J140" s="36" t="s">
        <v>626</v>
      </c>
      <c r="K140" s="77"/>
    </row>
    <row r="141" spans="2:11" ht="124.5" customHeight="1">
      <c r="B141" s="37" t="s">
        <v>7</v>
      </c>
      <c r="C141" s="36" t="s">
        <v>297</v>
      </c>
      <c r="D141" s="36" t="s">
        <v>628</v>
      </c>
      <c r="E141" s="36" t="s">
        <v>627</v>
      </c>
      <c r="F141" s="36" t="s">
        <v>620</v>
      </c>
      <c r="G141" s="52" t="s">
        <v>629</v>
      </c>
      <c r="H141" s="79" t="s">
        <v>630</v>
      </c>
      <c r="I141" s="120">
        <v>1</v>
      </c>
      <c r="J141" s="45" t="s">
        <v>576</v>
      </c>
      <c r="K141" s="1"/>
    </row>
    <row r="142" spans="2:11" ht="149.25" customHeight="1">
      <c r="B142" s="308" t="s">
        <v>183</v>
      </c>
      <c r="C142" s="193" t="s">
        <v>297</v>
      </c>
      <c r="D142" s="193" t="s">
        <v>616</v>
      </c>
      <c r="E142" s="193" t="s">
        <v>617</v>
      </c>
      <c r="F142" s="193" t="s">
        <v>631</v>
      </c>
      <c r="G142" s="141" t="s">
        <v>749</v>
      </c>
      <c r="H142" s="80" t="s">
        <v>750</v>
      </c>
      <c r="I142" s="120" t="s">
        <v>744</v>
      </c>
      <c r="J142" s="193" t="s">
        <v>633</v>
      </c>
      <c r="K142" s="328"/>
    </row>
    <row r="143" spans="2:11" ht="173.25" customHeight="1">
      <c r="B143" s="327"/>
      <c r="C143" s="326"/>
      <c r="D143" s="326"/>
      <c r="E143" s="326"/>
      <c r="F143" s="326"/>
      <c r="G143" s="141" t="s">
        <v>751</v>
      </c>
      <c r="H143" s="164" t="s">
        <v>752</v>
      </c>
      <c r="I143" s="120"/>
      <c r="J143" s="326"/>
      <c r="K143" s="328"/>
    </row>
    <row r="144" spans="2:11" ht="84" customHeight="1">
      <c r="B144" s="327"/>
      <c r="C144" s="326"/>
      <c r="D144" s="326"/>
      <c r="E144" s="326"/>
      <c r="F144" s="326"/>
      <c r="G144" s="141" t="s">
        <v>758</v>
      </c>
      <c r="H144" s="164" t="s">
        <v>753</v>
      </c>
      <c r="I144" s="120"/>
      <c r="J144" s="326"/>
      <c r="K144" s="328"/>
    </row>
    <row r="145" spans="2:13" ht="232.5" customHeight="1">
      <c r="B145" s="327"/>
      <c r="C145" s="326"/>
      <c r="D145" s="326"/>
      <c r="E145" s="326"/>
      <c r="F145" s="326"/>
      <c r="G145" s="141" t="s">
        <v>754</v>
      </c>
      <c r="H145" s="155" t="s">
        <v>755</v>
      </c>
      <c r="I145" s="120"/>
      <c r="J145" s="326"/>
      <c r="K145" s="328"/>
    </row>
    <row r="146" spans="2:13" ht="91.5" customHeight="1">
      <c r="B146" s="327"/>
      <c r="C146" s="326"/>
      <c r="D146" s="326"/>
      <c r="E146" s="326"/>
      <c r="F146" s="326"/>
      <c r="G146" s="36" t="s">
        <v>756</v>
      </c>
      <c r="H146" s="80" t="s">
        <v>757</v>
      </c>
      <c r="I146" s="120"/>
      <c r="J146" s="326"/>
      <c r="K146" s="328"/>
    </row>
    <row r="147" spans="2:13" ht="87.75" customHeight="1">
      <c r="B147" s="309"/>
      <c r="C147" s="194"/>
      <c r="D147" s="194"/>
      <c r="E147" s="194"/>
      <c r="F147" s="194"/>
      <c r="G147" s="162" t="s">
        <v>835</v>
      </c>
      <c r="H147" s="80" t="s">
        <v>753</v>
      </c>
      <c r="I147" s="120"/>
      <c r="J147" s="194"/>
      <c r="K147" s="328"/>
    </row>
    <row r="148" spans="2:13" ht="103.5" customHeight="1">
      <c r="B148" s="308" t="s">
        <v>184</v>
      </c>
      <c r="C148" s="193" t="s">
        <v>297</v>
      </c>
      <c r="D148" s="193" t="s">
        <v>616</v>
      </c>
      <c r="E148" s="193" t="s">
        <v>632</v>
      </c>
      <c r="F148" s="193" t="s">
        <v>620</v>
      </c>
      <c r="G148" s="163" t="s">
        <v>836</v>
      </c>
      <c r="H148" s="36" t="s">
        <v>837</v>
      </c>
      <c r="I148" s="120" t="s">
        <v>846</v>
      </c>
      <c r="J148" s="193" t="s">
        <v>633</v>
      </c>
      <c r="K148" s="329"/>
    </row>
    <row r="149" spans="2:13" ht="279" customHeight="1">
      <c r="B149" s="327"/>
      <c r="C149" s="326"/>
      <c r="D149" s="326"/>
      <c r="E149" s="326"/>
      <c r="F149" s="326"/>
      <c r="G149" s="163" t="s">
        <v>838</v>
      </c>
      <c r="H149" s="162" t="s">
        <v>839</v>
      </c>
      <c r="I149" s="120"/>
      <c r="J149" s="326"/>
      <c r="K149" s="330"/>
    </row>
    <row r="150" spans="2:13" ht="96.75" customHeight="1">
      <c r="B150" s="327"/>
      <c r="C150" s="326"/>
      <c r="D150" s="326"/>
      <c r="E150" s="326"/>
      <c r="F150" s="326"/>
      <c r="G150" s="163" t="s">
        <v>840</v>
      </c>
      <c r="H150" s="162"/>
      <c r="I150" s="120"/>
      <c r="J150" s="326"/>
      <c r="K150" s="330"/>
    </row>
    <row r="151" spans="2:13" ht="144" customHeight="1">
      <c r="B151" s="327"/>
      <c r="C151" s="326"/>
      <c r="D151" s="326"/>
      <c r="E151" s="326"/>
      <c r="F151" s="326"/>
      <c r="G151" s="163" t="s">
        <v>841</v>
      </c>
      <c r="H151" s="162" t="s">
        <v>842</v>
      </c>
      <c r="I151" s="120"/>
      <c r="J151" s="326"/>
      <c r="K151" s="330"/>
    </row>
    <row r="152" spans="2:13" ht="144" customHeight="1">
      <c r="B152" s="327"/>
      <c r="C152" s="326"/>
      <c r="D152" s="326"/>
      <c r="E152" s="326"/>
      <c r="F152" s="326"/>
      <c r="G152" s="163" t="s">
        <v>843</v>
      </c>
      <c r="H152" s="162" t="s">
        <v>844</v>
      </c>
      <c r="I152" s="120"/>
      <c r="J152" s="326"/>
      <c r="K152" s="330"/>
    </row>
    <row r="153" spans="2:13" ht="93.75" customHeight="1">
      <c r="B153" s="309"/>
      <c r="C153" s="194"/>
      <c r="D153" s="194"/>
      <c r="E153" s="194"/>
      <c r="F153" s="194"/>
      <c r="G153" s="162" t="s">
        <v>845</v>
      </c>
      <c r="H153" s="80" t="s">
        <v>753</v>
      </c>
      <c r="I153" s="120"/>
      <c r="J153" s="194"/>
      <c r="K153" s="331"/>
    </row>
    <row r="155" spans="2:13" ht="15.75" thickBot="1"/>
    <row r="156" spans="2:13">
      <c r="B156" s="282" t="s">
        <v>300</v>
      </c>
      <c r="C156" s="283"/>
      <c r="D156" s="283"/>
      <c r="E156" s="283"/>
      <c r="F156" s="283"/>
      <c r="G156" s="283"/>
      <c r="H156" s="283"/>
      <c r="I156" s="283"/>
      <c r="J156" s="283"/>
      <c r="K156" s="283"/>
      <c r="L156" s="283"/>
      <c r="M156" s="284"/>
    </row>
    <row r="157" spans="2:13" ht="15.75" thickBot="1"/>
    <row r="158" spans="2:13" ht="18.75" thickBot="1">
      <c r="B158" s="33" t="s">
        <v>77</v>
      </c>
      <c r="C158" s="32" t="s">
        <v>78</v>
      </c>
    </row>
    <row r="159" spans="2:13" ht="15.75" thickBot="1"/>
    <row r="160" spans="2:13" ht="15.75" thickBot="1">
      <c r="B160" s="317" t="s">
        <v>282</v>
      </c>
      <c r="C160" s="318"/>
      <c r="D160" s="318"/>
      <c r="E160" s="319"/>
    </row>
    <row r="162" spans="2:5">
      <c r="B162" s="268" t="s">
        <v>101</v>
      </c>
      <c r="C162" s="268"/>
      <c r="D162" s="268"/>
      <c r="E162" s="268"/>
    </row>
    <row r="163" spans="2:5">
      <c r="B163" s="42" t="s">
        <v>66</v>
      </c>
      <c r="C163" s="42" t="s">
        <v>244</v>
      </c>
      <c r="D163" s="42" t="s">
        <v>87</v>
      </c>
      <c r="E163" s="42" t="s">
        <v>102</v>
      </c>
    </row>
    <row r="164" spans="2:5">
      <c r="B164" s="59" t="s">
        <v>238</v>
      </c>
      <c r="C164" s="55">
        <f>C30</f>
        <v>1920</v>
      </c>
      <c r="D164" s="59" t="s">
        <v>303</v>
      </c>
      <c r="E164" s="75" t="s">
        <v>541</v>
      </c>
    </row>
    <row r="165" spans="2:5">
      <c r="B165" s="59" t="s">
        <v>237</v>
      </c>
      <c r="C165" s="55">
        <f>C29</f>
        <v>320</v>
      </c>
      <c r="D165" s="59" t="s">
        <v>303</v>
      </c>
      <c r="E165" s="75" t="s">
        <v>543</v>
      </c>
    </row>
    <row r="166" spans="2:5">
      <c r="B166" s="59" t="s">
        <v>211</v>
      </c>
      <c r="C166" s="55">
        <f>C31</f>
        <v>160</v>
      </c>
      <c r="D166" s="59" t="s">
        <v>303</v>
      </c>
      <c r="E166" s="59" t="s">
        <v>545</v>
      </c>
    </row>
    <row r="167" spans="2:5">
      <c r="B167" s="268" t="s">
        <v>123</v>
      </c>
      <c r="C167" s="268"/>
      <c r="D167" s="268"/>
      <c r="E167" s="268"/>
    </row>
    <row r="168" spans="2:5">
      <c r="B168" s="59" t="s">
        <v>302</v>
      </c>
      <c r="C168" s="55">
        <f>C164+C166+C165</f>
        <v>2400</v>
      </c>
      <c r="D168" s="59" t="s">
        <v>303</v>
      </c>
      <c r="E168" s="58"/>
    </row>
    <row r="169" spans="2:5" ht="15.75" thickBot="1"/>
    <row r="170" spans="2:5" ht="15.75" thickBot="1">
      <c r="B170" s="317" t="s">
        <v>422</v>
      </c>
      <c r="C170" s="318"/>
      <c r="D170" s="318"/>
      <c r="E170" s="319"/>
    </row>
    <row r="171" spans="2:5" ht="15.75" thickBot="1"/>
    <row r="172" spans="2:5" ht="15.75" thickBot="1">
      <c r="B172" s="317" t="s">
        <v>248</v>
      </c>
      <c r="C172" s="318"/>
      <c r="D172" s="318"/>
      <c r="E172" s="319"/>
    </row>
    <row r="174" spans="2:5">
      <c r="B174" s="118" t="s">
        <v>249</v>
      </c>
    </row>
    <row r="175" spans="2:5">
      <c r="B175" s="268" t="s">
        <v>101</v>
      </c>
      <c r="C175" s="268"/>
      <c r="D175" s="268"/>
      <c r="E175" s="268"/>
    </row>
    <row r="176" spans="2:5">
      <c r="B176" s="73" t="s">
        <v>66</v>
      </c>
      <c r="C176" s="73" t="s">
        <v>253</v>
      </c>
      <c r="D176" s="74" t="s">
        <v>87</v>
      </c>
      <c r="E176" s="42" t="s">
        <v>102</v>
      </c>
    </row>
    <row r="177" spans="2:5">
      <c r="B177" s="59" t="s">
        <v>302</v>
      </c>
      <c r="C177" s="55">
        <f>C168</f>
        <v>2400</v>
      </c>
      <c r="D177" s="59" t="s">
        <v>303</v>
      </c>
      <c r="E177" s="75"/>
    </row>
    <row r="178" spans="2:5" ht="60">
      <c r="B178" s="67" t="s">
        <v>426</v>
      </c>
      <c r="C178" s="70">
        <f>0.0067*C177</f>
        <v>16.080000000000002</v>
      </c>
      <c r="D178" s="59" t="s">
        <v>428</v>
      </c>
      <c r="E178" s="75" t="s">
        <v>287</v>
      </c>
    </row>
    <row r="179" spans="2:5" ht="60">
      <c r="B179" s="67" t="s">
        <v>425</v>
      </c>
      <c r="C179" s="70">
        <f>0.00895*C177</f>
        <v>21.48</v>
      </c>
      <c r="D179" s="59" t="s">
        <v>427</v>
      </c>
      <c r="E179" s="75" t="s">
        <v>254</v>
      </c>
    </row>
    <row r="180" spans="2:5" ht="60">
      <c r="B180" s="67" t="s">
        <v>256</v>
      </c>
      <c r="C180" s="70">
        <v>9.76</v>
      </c>
      <c r="D180" s="59" t="s">
        <v>424</v>
      </c>
      <c r="E180" s="34" t="s">
        <v>255</v>
      </c>
    </row>
    <row r="181" spans="2:5">
      <c r="B181" s="268" t="s">
        <v>123</v>
      </c>
      <c r="C181" s="268"/>
      <c r="D181" s="268"/>
      <c r="E181" s="268"/>
    </row>
    <row r="182" spans="2:5" ht="30">
      <c r="B182" s="59" t="s">
        <v>420</v>
      </c>
      <c r="C182" s="55">
        <f>0.7*C177</f>
        <v>1680</v>
      </c>
      <c r="D182" s="59" t="s">
        <v>423</v>
      </c>
      <c r="E182" s="58"/>
    </row>
    <row r="183" spans="2:5" ht="30">
      <c r="B183" s="59" t="s">
        <v>251</v>
      </c>
      <c r="C183" s="59">
        <f>C177*0.3</f>
        <v>720</v>
      </c>
      <c r="D183" s="59" t="s">
        <v>421</v>
      </c>
      <c r="E183" s="59"/>
    </row>
    <row r="184" spans="2:5" ht="15.75" thickBot="1"/>
    <row r="185" spans="2:5" ht="15.75" thickBot="1">
      <c r="B185" s="317" t="s">
        <v>277</v>
      </c>
      <c r="C185" s="318"/>
      <c r="D185" s="318"/>
      <c r="E185" s="319"/>
    </row>
    <row r="187" spans="2:5">
      <c r="B187" s="268" t="s">
        <v>101</v>
      </c>
      <c r="C187" s="268"/>
      <c r="D187" s="268"/>
      <c r="E187" s="268"/>
    </row>
    <row r="188" spans="2:5">
      <c r="B188" s="42" t="s">
        <v>66</v>
      </c>
      <c r="C188" s="42" t="s">
        <v>253</v>
      </c>
      <c r="D188" s="42" t="s">
        <v>87</v>
      </c>
      <c r="E188" s="42" t="s">
        <v>102</v>
      </c>
    </row>
    <row r="189" spans="2:5">
      <c r="B189" s="59" t="s">
        <v>429</v>
      </c>
      <c r="C189" s="55">
        <f>C183</f>
        <v>720</v>
      </c>
      <c r="D189" s="59" t="s">
        <v>430</v>
      </c>
      <c r="E189" s="76" t="s">
        <v>539</v>
      </c>
    </row>
    <row r="190" spans="2:5">
      <c r="B190" s="268" t="s">
        <v>123</v>
      </c>
      <c r="C190" s="268"/>
      <c r="D190" s="268"/>
      <c r="E190" s="268"/>
    </row>
    <row r="191" spans="2:5">
      <c r="B191" s="59" t="s">
        <v>279</v>
      </c>
      <c r="C191" s="55">
        <f>C189</f>
        <v>720</v>
      </c>
      <c r="D191" s="55" t="s">
        <v>431</v>
      </c>
      <c r="E191" s="58"/>
    </row>
    <row r="193" spans="2:6">
      <c r="B193" s="38" t="s">
        <v>176</v>
      </c>
    </row>
    <row r="195" spans="2:6">
      <c r="B195" s="268" t="s">
        <v>300</v>
      </c>
      <c r="C195" s="268"/>
      <c r="D195" s="268"/>
      <c r="E195" s="268"/>
      <c r="F195" s="105"/>
    </row>
    <row r="196" spans="2:6">
      <c r="B196" s="1" t="s">
        <v>162</v>
      </c>
      <c r="C196" s="58" t="s">
        <v>81</v>
      </c>
      <c r="D196" s="58" t="s">
        <v>175</v>
      </c>
      <c r="E196" s="58" t="s">
        <v>177</v>
      </c>
      <c r="F196" s="106"/>
    </row>
    <row r="197" spans="2:6">
      <c r="B197" s="36" t="s">
        <v>163</v>
      </c>
      <c r="C197" s="44">
        <v>9.2199999999999998E-6</v>
      </c>
      <c r="D197" s="57">
        <v>3.8800000000000001E-6</v>
      </c>
      <c r="E197" s="44">
        <v>4.4900000000000002E-4</v>
      </c>
    </row>
    <row r="198" spans="2:6">
      <c r="B198" s="36" t="s">
        <v>164</v>
      </c>
      <c r="C198" s="44">
        <v>1030</v>
      </c>
      <c r="D198" s="57">
        <v>137</v>
      </c>
      <c r="E198" s="44">
        <v>1140</v>
      </c>
    </row>
    <row r="199" spans="2:6">
      <c r="B199" s="36" t="s">
        <v>165</v>
      </c>
      <c r="C199" s="44">
        <v>3.6299999999999999E-2</v>
      </c>
      <c r="D199" s="57">
        <v>6.1199999999999997E-2</v>
      </c>
      <c r="E199" s="44">
        <v>0.108</v>
      </c>
    </row>
    <row r="200" spans="2:6">
      <c r="B200" s="36" t="s">
        <v>166</v>
      </c>
      <c r="C200" s="44">
        <v>6.2300000000000003E-3</v>
      </c>
      <c r="D200" s="57">
        <v>6.8500000000000002E-3</v>
      </c>
      <c r="E200" s="44">
        <v>1.8100000000000002E-2</v>
      </c>
    </row>
    <row r="201" spans="2:6">
      <c r="B201" s="36" t="s">
        <v>167</v>
      </c>
      <c r="C201" s="44">
        <v>0.40500000000000003</v>
      </c>
      <c r="D201" s="57">
        <v>4.2299999999999997E-2</v>
      </c>
      <c r="E201" s="44">
        <v>0.10100000000000001</v>
      </c>
    </row>
    <row r="202" spans="2:6">
      <c r="B202" s="36" t="s">
        <v>168</v>
      </c>
      <c r="C202" s="44">
        <v>7.63</v>
      </c>
      <c r="D202" s="57">
        <v>10.199999999999999</v>
      </c>
      <c r="E202" s="44">
        <v>156</v>
      </c>
    </row>
    <row r="203" spans="2:6" ht="30">
      <c r="B203" s="36" t="s">
        <v>169</v>
      </c>
      <c r="C203" s="44">
        <v>11.6</v>
      </c>
      <c r="D203" s="57">
        <v>10.6</v>
      </c>
      <c r="E203" s="44">
        <v>156</v>
      </c>
    </row>
    <row r="204" spans="2:6">
      <c r="B204" s="36" t="s">
        <v>170</v>
      </c>
      <c r="C204" s="44">
        <v>1.32</v>
      </c>
      <c r="D204" s="57">
        <v>0.52600000000000002</v>
      </c>
      <c r="E204" s="44">
        <v>4.6100000000000003</v>
      </c>
    </row>
    <row r="205" spans="2:6">
      <c r="B205" s="36" t="s">
        <v>171</v>
      </c>
      <c r="C205" s="44">
        <v>1330</v>
      </c>
      <c r="D205" s="57">
        <v>2210</v>
      </c>
      <c r="E205" s="44">
        <v>3890</v>
      </c>
    </row>
    <row r="206" spans="2:6" ht="30">
      <c r="B206" s="36" t="s">
        <v>172</v>
      </c>
      <c r="C206" s="44">
        <v>6.2800000000000005E-11</v>
      </c>
      <c r="D206" s="57">
        <v>3.0099999999999998E-11</v>
      </c>
      <c r="E206" s="44">
        <v>5.2700000000000004E-10</v>
      </c>
    </row>
    <row r="207" spans="2:6">
      <c r="B207" s="36" t="s">
        <v>173</v>
      </c>
      <c r="C207" s="44">
        <v>5.4900000000000001E-3</v>
      </c>
      <c r="D207" s="57">
        <v>4.7699999999999999E-3</v>
      </c>
      <c r="E207" s="44">
        <v>9.3100000000000006E-3</v>
      </c>
    </row>
    <row r="208" spans="2:6">
      <c r="B208" s="36" t="s">
        <v>174</v>
      </c>
      <c r="C208" s="44">
        <v>0.152</v>
      </c>
      <c r="D208" s="57">
        <v>0.28299999999999997</v>
      </c>
      <c r="E208" s="44">
        <v>0.19500000000000001</v>
      </c>
    </row>
    <row r="209" spans="2:11" ht="15.75" thickBot="1"/>
    <row r="210" spans="2:11" ht="15.75" thickBot="1">
      <c r="B210" s="33" t="s">
        <v>178</v>
      </c>
      <c r="C210" s="32" t="s">
        <v>187</v>
      </c>
    </row>
    <row r="212" spans="2:11">
      <c r="B212" s="262" t="s">
        <v>300</v>
      </c>
      <c r="C212" s="262"/>
      <c r="D212" s="262"/>
      <c r="E212" s="262"/>
      <c r="F212" s="262"/>
      <c r="G212" s="262"/>
      <c r="H212" s="262"/>
      <c r="I212" s="262"/>
      <c r="J212" s="262"/>
    </row>
    <row r="213" spans="2:11">
      <c r="B213" s="42" t="s">
        <v>179</v>
      </c>
      <c r="C213" s="42" t="s">
        <v>33</v>
      </c>
      <c r="D213" s="42" t="s">
        <v>34</v>
      </c>
      <c r="E213" s="42" t="s">
        <v>35</v>
      </c>
      <c r="F213" s="42" t="s">
        <v>50</v>
      </c>
      <c r="G213" s="258" t="s">
        <v>196</v>
      </c>
      <c r="H213" s="259"/>
      <c r="I213" s="119" t="s">
        <v>189</v>
      </c>
      <c r="J213" s="42" t="s">
        <v>190</v>
      </c>
    </row>
    <row r="214" spans="2:11" ht="87" customHeight="1">
      <c r="B214" s="308" t="s">
        <v>2</v>
      </c>
      <c r="C214" s="193" t="s">
        <v>194</v>
      </c>
      <c r="D214" s="193" t="s">
        <v>289</v>
      </c>
      <c r="E214" s="193" t="s">
        <v>562</v>
      </c>
      <c r="F214" s="308"/>
      <c r="G214" s="304" t="s">
        <v>610</v>
      </c>
      <c r="H214" s="306" t="s">
        <v>611</v>
      </c>
      <c r="I214" s="294">
        <v>0.5</v>
      </c>
      <c r="J214" s="193" t="s">
        <v>290</v>
      </c>
    </row>
    <row r="215" spans="2:11" ht="1.5" customHeight="1">
      <c r="B215" s="309"/>
      <c r="C215" s="194"/>
      <c r="D215" s="194"/>
      <c r="E215" s="194"/>
      <c r="F215" s="309"/>
      <c r="G215" s="305"/>
      <c r="H215" s="307"/>
      <c r="I215" s="296"/>
      <c r="J215" s="194"/>
    </row>
    <row r="216" spans="2:11" ht="39.75" customHeight="1">
      <c r="B216" s="308" t="s">
        <v>180</v>
      </c>
      <c r="C216" s="193" t="s">
        <v>573</v>
      </c>
      <c r="D216" s="193" t="s">
        <v>200</v>
      </c>
      <c r="E216" s="193" t="s">
        <v>550</v>
      </c>
      <c r="F216" s="191"/>
      <c r="G216" s="52" t="s">
        <v>613</v>
      </c>
      <c r="H216" s="50" t="s">
        <v>294</v>
      </c>
      <c r="I216" s="294">
        <v>0</v>
      </c>
      <c r="J216" s="193" t="s">
        <v>740</v>
      </c>
    </row>
    <row r="217" spans="2:11" ht="39.75" customHeight="1">
      <c r="B217" s="309"/>
      <c r="C217" s="194"/>
      <c r="D217" s="194"/>
      <c r="E217" s="194"/>
      <c r="F217" s="192"/>
      <c r="G217" s="36" t="s">
        <v>612</v>
      </c>
      <c r="H217" s="34" t="s">
        <v>572</v>
      </c>
      <c r="I217" s="296"/>
      <c r="J217" s="194"/>
    </row>
    <row r="218" spans="2:11" ht="30" customHeight="1">
      <c r="B218" s="308" t="s">
        <v>181</v>
      </c>
      <c r="C218" s="193" t="s">
        <v>566</v>
      </c>
      <c r="D218" s="193" t="s">
        <v>202</v>
      </c>
      <c r="E218" s="193" t="s">
        <v>296</v>
      </c>
      <c r="F218" s="193" t="s">
        <v>550</v>
      </c>
      <c r="G218" s="312" t="s">
        <v>679</v>
      </c>
      <c r="H218" s="308" t="s">
        <v>680</v>
      </c>
      <c r="I218" s="310" t="s">
        <v>681</v>
      </c>
      <c r="J218" s="193" t="s">
        <v>741</v>
      </c>
      <c r="K218" s="77"/>
    </row>
    <row r="219" spans="2:11" ht="142.5" customHeight="1">
      <c r="B219" s="309"/>
      <c r="C219" s="194"/>
      <c r="D219" s="194"/>
      <c r="E219" s="194"/>
      <c r="F219" s="194"/>
      <c r="G219" s="313"/>
      <c r="H219" s="309"/>
      <c r="I219" s="311"/>
      <c r="J219" s="194"/>
      <c r="K219" s="127"/>
    </row>
    <row r="220" spans="2:11" ht="202.5" customHeight="1">
      <c r="B220" s="37" t="s">
        <v>7</v>
      </c>
      <c r="C220" s="36" t="s">
        <v>615</v>
      </c>
      <c r="D220" s="36" t="s">
        <v>616</v>
      </c>
      <c r="E220" s="36" t="s">
        <v>617</v>
      </c>
      <c r="F220" s="36" t="s">
        <v>299</v>
      </c>
      <c r="G220" s="52" t="s">
        <v>618</v>
      </c>
      <c r="H220" s="79" t="s">
        <v>619</v>
      </c>
      <c r="I220" s="120">
        <v>1</v>
      </c>
      <c r="J220" s="45" t="s">
        <v>742</v>
      </c>
    </row>
    <row r="221" spans="2:11" ht="157.5" customHeight="1">
      <c r="B221" s="308" t="s">
        <v>183</v>
      </c>
      <c r="C221" s="193" t="s">
        <v>615</v>
      </c>
      <c r="D221" s="193" t="s">
        <v>616</v>
      </c>
      <c r="E221" s="193" t="s">
        <v>298</v>
      </c>
      <c r="F221" s="193" t="s">
        <v>620</v>
      </c>
      <c r="G221" s="332" t="s">
        <v>743</v>
      </c>
      <c r="H221" s="333" t="s">
        <v>834</v>
      </c>
      <c r="I221" s="120" t="s">
        <v>744</v>
      </c>
      <c r="J221" s="334" t="s">
        <v>747</v>
      </c>
      <c r="K221" s="301"/>
    </row>
    <row r="222" spans="2:11" ht="15.75" customHeight="1">
      <c r="B222" s="327"/>
      <c r="C222" s="326"/>
      <c r="D222" s="326"/>
      <c r="E222" s="326"/>
      <c r="F222" s="326"/>
      <c r="G222" s="332"/>
      <c r="H222" s="333"/>
      <c r="I222" s="120"/>
      <c r="J222" s="326"/>
      <c r="K222" s="302"/>
    </row>
    <row r="223" spans="2:11" ht="409.5" customHeight="1">
      <c r="B223" s="309"/>
      <c r="C223" s="194"/>
      <c r="D223" s="194"/>
      <c r="E223" s="194"/>
      <c r="F223" s="194"/>
      <c r="G223" s="332"/>
      <c r="H223" s="333"/>
      <c r="I223" s="120"/>
      <c r="J223" s="194"/>
      <c r="K223" s="303"/>
    </row>
    <row r="224" spans="2:11" ht="192" customHeight="1">
      <c r="B224" s="308" t="s">
        <v>184</v>
      </c>
      <c r="C224" s="193" t="s">
        <v>615</v>
      </c>
      <c r="D224" s="193" t="s">
        <v>616</v>
      </c>
      <c r="E224" s="193" t="s">
        <v>298</v>
      </c>
      <c r="F224" s="193" t="s">
        <v>620</v>
      </c>
      <c r="G224" s="52" t="s">
        <v>745</v>
      </c>
      <c r="H224" s="36" t="s">
        <v>621</v>
      </c>
      <c r="I224" s="120" t="s">
        <v>833</v>
      </c>
      <c r="J224" s="193" t="s">
        <v>622</v>
      </c>
    </row>
    <row r="225" spans="2:10" ht="30">
      <c r="B225" s="327"/>
      <c r="C225" s="326"/>
      <c r="D225" s="326"/>
      <c r="E225" s="326"/>
      <c r="F225" s="326"/>
      <c r="G225" s="170" t="s">
        <v>746</v>
      </c>
      <c r="H225" s="171" t="s">
        <v>683</v>
      </c>
      <c r="I225" s="120"/>
      <c r="J225" s="326"/>
    </row>
    <row r="226" spans="2:10" ht="15" customHeight="1">
      <c r="B226" s="327"/>
      <c r="C226" s="326"/>
      <c r="D226" s="326"/>
      <c r="E226" s="326"/>
      <c r="F226" s="326"/>
      <c r="G226" s="69" t="s">
        <v>829</v>
      </c>
      <c r="H226" s="169" t="s">
        <v>830</v>
      </c>
      <c r="I226" s="120"/>
      <c r="J226" s="326"/>
    </row>
    <row r="227" spans="2:10" ht="45">
      <c r="B227" s="327"/>
      <c r="C227" s="326"/>
      <c r="D227" s="326"/>
      <c r="E227" s="326"/>
      <c r="F227" s="326"/>
      <c r="G227" s="69" t="s">
        <v>831</v>
      </c>
      <c r="H227" s="169" t="s">
        <v>832</v>
      </c>
      <c r="I227" s="120"/>
      <c r="J227" s="326"/>
    </row>
    <row r="228" spans="2:10" ht="15.75">
      <c r="B228" s="309"/>
      <c r="C228" s="194"/>
      <c r="D228" s="194"/>
      <c r="E228" s="194"/>
      <c r="F228" s="194"/>
      <c r="G228" s="69"/>
      <c r="H228" s="78"/>
      <c r="I228" s="120"/>
      <c r="J228" s="194"/>
    </row>
    <row r="231" spans="2:10">
      <c r="B231" s="24"/>
      <c r="C231" s="77"/>
      <c r="D231" s="24"/>
    </row>
  </sheetData>
  <autoFilter ref="B135:J153"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5">
    <mergeCell ref="J224:J228"/>
    <mergeCell ref="B224:B228"/>
    <mergeCell ref="C224:C228"/>
    <mergeCell ref="D224:D228"/>
    <mergeCell ref="E224:E228"/>
    <mergeCell ref="F224:F228"/>
    <mergeCell ref="B221:B223"/>
    <mergeCell ref="C221:C223"/>
    <mergeCell ref="D221:D223"/>
    <mergeCell ref="E221:E223"/>
    <mergeCell ref="F221:F223"/>
    <mergeCell ref="G221:G223"/>
    <mergeCell ref="H221:H223"/>
    <mergeCell ref="J221:J223"/>
    <mergeCell ref="B195:E195"/>
    <mergeCell ref="B212:J212"/>
    <mergeCell ref="G213:H213"/>
    <mergeCell ref="B214:B215"/>
    <mergeCell ref="C214:C215"/>
    <mergeCell ref="D214:D215"/>
    <mergeCell ref="E214:E215"/>
    <mergeCell ref="F214:F215"/>
    <mergeCell ref="I214:I215"/>
    <mergeCell ref="J214:J215"/>
    <mergeCell ref="B167:E167"/>
    <mergeCell ref="C148:C153"/>
    <mergeCell ref="B148:B153"/>
    <mergeCell ref="J148:J153"/>
    <mergeCell ref="B185:E185"/>
    <mergeCell ref="B187:E187"/>
    <mergeCell ref="B190:E190"/>
    <mergeCell ref="B170:E170"/>
    <mergeCell ref="B172:E172"/>
    <mergeCell ref="B175:E175"/>
    <mergeCell ref="B181:E181"/>
    <mergeCell ref="E142:E147"/>
    <mergeCell ref="F142:F147"/>
    <mergeCell ref="B156:M156"/>
    <mergeCell ref="B160:E160"/>
    <mergeCell ref="B162:E162"/>
    <mergeCell ref="F148:F153"/>
    <mergeCell ref="E148:E153"/>
    <mergeCell ref="D148:D153"/>
    <mergeCell ref="B142:B147"/>
    <mergeCell ref="C142:C147"/>
    <mergeCell ref="D142:D147"/>
    <mergeCell ref="K142:K147"/>
    <mergeCell ref="K148:K153"/>
    <mergeCell ref="J142:J147"/>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B73:E73"/>
    <mergeCell ref="B66:E66"/>
    <mergeCell ref="B79:E79"/>
    <mergeCell ref="B80:E80"/>
    <mergeCell ref="B57:E57"/>
    <mergeCell ref="B62:E62"/>
    <mergeCell ref="B67:E67"/>
    <mergeCell ref="G102:Q102"/>
    <mergeCell ref="B84:E84"/>
    <mergeCell ref="B88:E88"/>
    <mergeCell ref="B90:E90"/>
    <mergeCell ref="B93:E93"/>
    <mergeCell ref="B96:E96"/>
    <mergeCell ref="B38:M38"/>
    <mergeCell ref="B27:C27"/>
    <mergeCell ref="D27:E27"/>
    <mergeCell ref="B31:B35"/>
    <mergeCell ref="C31:C35"/>
    <mergeCell ref="B44:E44"/>
    <mergeCell ref="B49:E49"/>
    <mergeCell ref="B42:E42"/>
    <mergeCell ref="B54:E54"/>
    <mergeCell ref="E46:E47"/>
    <mergeCell ref="K221:K223"/>
    <mergeCell ref="G214:G215"/>
    <mergeCell ref="H214:H215"/>
    <mergeCell ref="B216:B217"/>
    <mergeCell ref="C216:C217"/>
    <mergeCell ref="D216:D217"/>
    <mergeCell ref="E216:E217"/>
    <mergeCell ref="F216:F217"/>
    <mergeCell ref="I216:I217"/>
    <mergeCell ref="J216:J217"/>
    <mergeCell ref="B218:B219"/>
    <mergeCell ref="C218:C219"/>
    <mergeCell ref="D218:D219"/>
    <mergeCell ref="E218:E219"/>
    <mergeCell ref="F218:F219"/>
    <mergeCell ref="I218:I219"/>
    <mergeCell ref="J218:J219"/>
    <mergeCell ref="G218:G219"/>
    <mergeCell ref="H218:H219"/>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baseColWidth="10" defaultColWidth="10.85546875" defaultRowHeight="15"/>
  <sheetData>
    <row r="1" spans="1:26" ht="21">
      <c r="A1" s="11" t="s">
        <v>304</v>
      </c>
    </row>
    <row r="3" spans="1:26" ht="15.75">
      <c r="B3" s="338" t="s">
        <v>305</v>
      </c>
      <c r="C3" s="81" t="s">
        <v>306</v>
      </c>
      <c r="D3" s="82">
        <v>1322</v>
      </c>
      <c r="F3" s="83" t="s">
        <v>307</v>
      </c>
    </row>
    <row r="4" spans="1:26">
      <c r="B4" s="338"/>
      <c r="C4" s="45" t="s">
        <v>308</v>
      </c>
      <c r="D4" s="84">
        <v>330.5</v>
      </c>
    </row>
    <row r="5" spans="1:26">
      <c r="B5" s="338"/>
      <c r="C5" s="81" t="s">
        <v>309</v>
      </c>
      <c r="D5" s="82">
        <v>6</v>
      </c>
      <c r="F5" s="85" t="s">
        <v>310</v>
      </c>
      <c r="G5" t="s">
        <v>311</v>
      </c>
      <c r="J5" s="25" t="s">
        <v>312</v>
      </c>
      <c r="K5" t="s">
        <v>313</v>
      </c>
    </row>
    <row r="6" spans="1:26">
      <c r="B6" s="338"/>
      <c r="C6" s="37" t="s">
        <v>314</v>
      </c>
      <c r="D6" s="84">
        <v>280</v>
      </c>
      <c r="F6" s="86" t="s">
        <v>315</v>
      </c>
      <c r="G6" s="25" t="s">
        <v>316</v>
      </c>
      <c r="H6" s="87">
        <f>D8/(D6+D7)</f>
        <v>0.42666666666666669</v>
      </c>
      <c r="J6" s="25" t="s">
        <v>317</v>
      </c>
      <c r="K6" t="s">
        <v>318</v>
      </c>
    </row>
    <row r="7" spans="1:26">
      <c r="B7" s="338"/>
      <c r="C7" s="88" t="s">
        <v>319</v>
      </c>
      <c r="D7" s="82">
        <v>95</v>
      </c>
      <c r="F7" s="85"/>
      <c r="J7" s="25" t="s">
        <v>320</v>
      </c>
      <c r="K7" t="s">
        <v>321</v>
      </c>
    </row>
    <row r="8" spans="1:26">
      <c r="B8" s="338"/>
      <c r="C8" s="45" t="s">
        <v>322</v>
      </c>
      <c r="D8" s="84">
        <v>160</v>
      </c>
    </row>
    <row r="9" spans="1:26">
      <c r="B9" s="338"/>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252" t="s">
        <v>328</v>
      </c>
      <c r="H12" s="252"/>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252" t="s">
        <v>334</v>
      </c>
      <c r="H17" s="252"/>
      <c r="I17" s="25">
        <f>I12-I15</f>
        <v>46.2</v>
      </c>
      <c r="J17" t="s">
        <v>326</v>
      </c>
    </row>
    <row r="18" spans="1:14">
      <c r="G18" s="85"/>
      <c r="H18" s="85"/>
      <c r="I18" s="25"/>
    </row>
    <row r="19" spans="1:14" ht="15.75">
      <c r="I19" s="91" t="s">
        <v>335</v>
      </c>
      <c r="N19" s="92" t="s">
        <v>336</v>
      </c>
    </row>
    <row r="20" spans="1:14" ht="15.7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7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252" t="s">
        <v>376</v>
      </c>
      <c r="J58" s="252"/>
      <c r="K58" s="25">
        <f>37+E58</f>
        <v>46</v>
      </c>
      <c r="L58" t="s">
        <v>326</v>
      </c>
    </row>
    <row r="60" spans="2:12">
      <c r="H60" t="s">
        <v>377</v>
      </c>
    </row>
    <row r="61" spans="2:12">
      <c r="H61" s="85" t="s">
        <v>327</v>
      </c>
      <c r="I61" s="252" t="s">
        <v>378</v>
      </c>
      <c r="J61" s="252"/>
    </row>
    <row r="62" spans="2:12">
      <c r="H62" s="85" t="s">
        <v>379</v>
      </c>
      <c r="I62" s="252" t="s">
        <v>380</v>
      </c>
      <c r="J62" s="252"/>
      <c r="K62" s="25">
        <f>K58/0.92</f>
        <v>50</v>
      </c>
      <c r="L62" t="s">
        <v>326</v>
      </c>
    </row>
    <row r="64" spans="2:12">
      <c r="H64" t="s">
        <v>381</v>
      </c>
    </row>
    <row r="65" spans="9:20">
      <c r="I65" t="s">
        <v>382</v>
      </c>
      <c r="N65" s="4" t="s">
        <v>383</v>
      </c>
    </row>
    <row r="66" spans="9:20" ht="15.7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252" t="s">
        <v>402</v>
      </c>
      <c r="S82" s="252"/>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252" t="s">
        <v>406</v>
      </c>
      <c r="S86" s="252"/>
      <c r="T86" s="97">
        <f>T82*E35</f>
        <v>1915.6129032258063</v>
      </c>
      <c r="U86" t="s">
        <v>407</v>
      </c>
      <c r="X86" s="16"/>
      <c r="Y86" s="16"/>
      <c r="Z86" s="24"/>
    </row>
    <row r="87" spans="1:26" ht="15.75" thickBot="1">
      <c r="S87" s="85" t="s">
        <v>408</v>
      </c>
      <c r="T87" s="25">
        <v>1920</v>
      </c>
      <c r="U87" t="s">
        <v>407</v>
      </c>
      <c r="X87" s="16"/>
      <c r="Y87" s="16"/>
      <c r="Z87" s="24"/>
    </row>
    <row r="88" spans="1:26">
      <c r="S88" s="25"/>
      <c r="V88" s="98"/>
      <c r="W88" s="335" t="s">
        <v>305</v>
      </c>
      <c r="X88" s="99" t="s">
        <v>409</v>
      </c>
      <c r="Y88" s="100">
        <v>320</v>
      </c>
    </row>
    <row r="89" spans="1:26">
      <c r="P89" t="s">
        <v>410</v>
      </c>
      <c r="S89" s="25"/>
      <c r="V89" s="98"/>
      <c r="W89" s="336"/>
      <c r="X89" s="45" t="s">
        <v>411</v>
      </c>
      <c r="Y89" s="101">
        <v>1920</v>
      </c>
    </row>
    <row r="90" spans="1:26" ht="15.75" thickBot="1">
      <c r="Q90" s="85" t="s">
        <v>412</v>
      </c>
      <c r="R90" t="s">
        <v>413</v>
      </c>
      <c r="V90" s="98"/>
      <c r="W90" s="337"/>
      <c r="X90" s="102" t="s">
        <v>322</v>
      </c>
      <c r="Y90" s="103">
        <v>160</v>
      </c>
    </row>
    <row r="91" spans="1:26">
      <c r="Q91" s="85" t="s">
        <v>315</v>
      </c>
      <c r="R91" s="252" t="s">
        <v>414</v>
      </c>
      <c r="S91" s="252"/>
      <c r="T91" s="25">
        <f>E53+S70+T87</f>
        <v>2400</v>
      </c>
      <c r="U91" t="s">
        <v>407</v>
      </c>
    </row>
    <row r="92" spans="1:26">
      <c r="S92" s="25"/>
    </row>
    <row r="93" spans="1:26">
      <c r="S93" s="25"/>
      <c r="U93" t="s">
        <v>415</v>
      </c>
    </row>
    <row r="95" spans="1:26" ht="20.25">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Suzana Ostojic</cp:lastModifiedBy>
  <dcterms:created xsi:type="dcterms:W3CDTF">2025-01-20T15:46:05Z</dcterms:created>
  <dcterms:modified xsi:type="dcterms:W3CDTF">2025-03-13T16:56:59Z</dcterms:modified>
</cp:coreProperties>
</file>