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vens\Documents\GitHub\WQIP-Annual-Report-2020-21\A.2 Outfall Assessments\DryWeatherLoadingCalcs\Input\ProvisionalFlow\"/>
    </mc:Choice>
  </mc:AlternateContent>
  <xr:revisionPtr revIDLastSave="0" documentId="13_ncr:1_{E335A68E-B208-4DB7-87D9-52CF87A9A5F3}" xr6:coauthVersionLast="45" xr6:coauthVersionMax="45" xr10:uidLastSave="{00000000-0000-0000-0000-000000000000}"/>
  <bookViews>
    <workbookView xWindow="-120" yWindow="-120" windowWidth="29040" windowHeight="17640" tabRatio="565" firstSheet="1" activeTab="2" xr2:uid="{00000000-000D-0000-FFFF-FFFF00000000}"/>
  </bookViews>
  <sheets>
    <sheet name="Averaging of Contribution Score" sheetId="3" r:id="rId1"/>
    <sheet name="Scoring and Weighting" sheetId="2" r:id="rId2"/>
    <sheet name="MasterGISTable with Scoring" sheetId="1" r:id="rId3"/>
    <sheet name="Table with Jurisdictions" sheetId="6" r:id="rId4"/>
    <sheet name="Summary Table for Print" sheetId="4" r:id="rId5"/>
    <sheet name="Sheet1" sheetId="5" r:id="rId6"/>
    <sheet name="Sheet2" sheetId="8" r:id="rId7"/>
    <sheet name="ratio of flow" sheetId="7" r:id="rId8"/>
  </sheets>
  <externalReferences>
    <externalReference r:id="rId9"/>
  </externalReferences>
  <definedNames>
    <definedName name="_xlnm._FilterDatabase" localSheetId="2" hidden="1">'MasterGISTable with Scoring'!$A$1:$BU$28</definedName>
    <definedName name="_xlnm._FilterDatabase" localSheetId="3" hidden="1">'Table with Jurisdictions'!$A$3:$AC$122</definedName>
    <definedName name="_xlnm.Print_Area" localSheetId="1">'Scoring and Weighting'!$A$1:$G$135</definedName>
    <definedName name="_xlnm.Print_Area" localSheetId="4">'Summary Table for Print'!$A$1:$BV$121</definedName>
    <definedName name="_xlnm.Print_Area" localSheetId="3">'Table with Jurisdictions'!$A$1:$BU$122</definedName>
    <definedName name="_xlnm.Print_Titles" localSheetId="4">'Summary Table for Print'!$A:$M,'Summary Table for Print'!$1:$2</definedName>
    <definedName name="_xlnm.Print_Titles" localSheetId="3">'Table with Jurisdictions'!$A:$K,'Table with Jurisdictions'!$2:$3</definedName>
  </definedNames>
  <calcPr calcId="191029"/>
  <pivotCaches>
    <pivotCache cacheId="0" r:id="rId10"/>
    <pivotCache cacheId="1" r:id="rId11"/>
    <pivotCache cacheId="2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4" i="4" l="1"/>
  <c r="BO3" i="4" l="1"/>
  <c r="AK3" i="4"/>
  <c r="L6" i="5" l="1"/>
  <c r="L4" i="5"/>
  <c r="J16" i="5" l="1"/>
  <c r="L8" i="5"/>
  <c r="O107" i="6" l="1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3" i="4"/>
  <c r="BH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D1" i="7"/>
  <c r="AM51" i="4" s="1"/>
  <c r="AM110" i="4" l="1"/>
  <c r="AM98" i="4"/>
  <c r="AM86" i="4"/>
  <c r="AM74" i="4"/>
  <c r="AM62" i="4"/>
  <c r="AM109" i="4"/>
  <c r="AM120" i="4"/>
  <c r="AM84" i="4"/>
  <c r="AM60" i="4"/>
  <c r="AM119" i="4"/>
  <c r="AM107" i="4"/>
  <c r="AM95" i="4"/>
  <c r="AM83" i="4"/>
  <c r="AM71" i="4"/>
  <c r="AM59" i="4"/>
  <c r="AM108" i="4"/>
  <c r="AM96" i="4"/>
  <c r="AM72" i="4"/>
  <c r="AM118" i="4"/>
  <c r="AM106" i="4"/>
  <c r="AM94" i="4"/>
  <c r="AM82" i="4"/>
  <c r="AM70" i="4"/>
  <c r="AM58" i="4"/>
  <c r="AM117" i="4"/>
  <c r="AM105" i="4"/>
  <c r="AM93" i="4"/>
  <c r="AM81" i="4"/>
  <c r="AM69" i="4"/>
  <c r="AM57" i="4"/>
  <c r="AM61" i="4"/>
  <c r="AM116" i="4"/>
  <c r="AM104" i="4"/>
  <c r="AM92" i="4"/>
  <c r="AM80" i="4"/>
  <c r="AM68" i="4"/>
  <c r="AM56" i="4"/>
  <c r="AM73" i="4"/>
  <c r="AM115" i="4"/>
  <c r="AM103" i="4"/>
  <c r="AM91" i="4"/>
  <c r="AM79" i="4"/>
  <c r="AM67" i="4"/>
  <c r="AM55" i="4"/>
  <c r="AM97" i="4"/>
  <c r="AM114" i="4"/>
  <c r="AM102" i="4"/>
  <c r="AM90" i="4"/>
  <c r="AM78" i="4"/>
  <c r="AM66" i="4"/>
  <c r="AM54" i="4"/>
  <c r="AM113" i="4"/>
  <c r="AM101" i="4"/>
  <c r="AM89" i="4"/>
  <c r="AM77" i="4"/>
  <c r="AM65" i="4"/>
  <c r="AM53" i="4"/>
  <c r="AM121" i="4"/>
  <c r="AM85" i="4"/>
  <c r="AM112" i="4"/>
  <c r="AM100" i="4"/>
  <c r="AM88" i="4"/>
  <c r="AM76" i="4"/>
  <c r="AM64" i="4"/>
  <c r="AM52" i="4"/>
  <c r="AM111" i="4"/>
  <c r="AM99" i="4"/>
  <c r="AM87" i="4"/>
  <c r="AM75" i="4"/>
  <c r="AM63" i="4"/>
  <c r="BX4" i="6"/>
  <c r="P4" i="6"/>
  <c r="I20" i="5"/>
  <c r="I16" i="5"/>
  <c r="J120" i="4" l="1"/>
  <c r="O122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Q26" i="6" s="1"/>
  <c r="P27" i="6"/>
  <c r="Q27" i="6" s="1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Q47" i="6" s="1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Q91" i="6" s="1"/>
  <c r="P92" i="6"/>
  <c r="P93" i="6"/>
  <c r="P94" i="6"/>
  <c r="P95" i="6"/>
  <c r="Q95" i="6" s="1"/>
  <c r="P96" i="6"/>
  <c r="P97" i="6"/>
  <c r="P98" i="6"/>
  <c r="P99" i="6"/>
  <c r="P100" i="6"/>
  <c r="P101" i="6"/>
  <c r="P102" i="6"/>
  <c r="P103" i="6"/>
  <c r="P104" i="6"/>
  <c r="P105" i="6"/>
  <c r="P106" i="6"/>
  <c r="P108" i="6"/>
  <c r="P109" i="6"/>
  <c r="P110" i="6"/>
  <c r="P111" i="6"/>
  <c r="P113" i="6"/>
  <c r="P114" i="6"/>
  <c r="Q114" i="6" s="1"/>
  <c r="P115" i="6"/>
  <c r="P116" i="6"/>
  <c r="P118" i="6"/>
  <c r="P119" i="6"/>
  <c r="P120" i="6"/>
  <c r="P6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5" i="6"/>
  <c r="O6" i="6"/>
  <c r="O7" i="6"/>
  <c r="O8" i="6"/>
  <c r="O9" i="6"/>
  <c r="O10" i="6"/>
  <c r="O11" i="6"/>
  <c r="O12" i="6"/>
  <c r="O13" i="6"/>
  <c r="O14" i="6"/>
  <c r="O15" i="6"/>
  <c r="O4" i="6"/>
  <c r="Q4" i="6" s="1"/>
  <c r="P5" i="6"/>
  <c r="Q43" i="6" l="1"/>
  <c r="Q105" i="6"/>
  <c r="Q59" i="6"/>
  <c r="Q75" i="6"/>
  <c r="J74" i="4" s="1"/>
  <c r="Q6" i="6"/>
  <c r="Q88" i="6"/>
  <c r="Q84" i="6"/>
  <c r="Q80" i="6"/>
  <c r="J79" i="4" s="1"/>
  <c r="Q28" i="6"/>
  <c r="J27" i="4" s="1"/>
  <c r="Q16" i="6"/>
  <c r="Q12" i="6"/>
  <c r="J11" i="4" s="1"/>
  <c r="Q119" i="6"/>
  <c r="J118" i="4" s="1"/>
  <c r="Q111" i="6"/>
  <c r="Q103" i="6"/>
  <c r="Q99" i="6"/>
  <c r="Q115" i="6"/>
  <c r="Q87" i="6"/>
  <c r="Q83" i="6"/>
  <c r="Q79" i="6"/>
  <c r="Q67" i="6"/>
  <c r="Q63" i="6"/>
  <c r="J62" i="4" s="1"/>
  <c r="Q55" i="6"/>
  <c r="Q51" i="6"/>
  <c r="J50" i="4" s="1"/>
  <c r="Q31" i="6"/>
  <c r="Q118" i="6"/>
  <c r="Q110" i="6"/>
  <c r="Q106" i="6"/>
  <c r="J105" i="4" s="1"/>
  <c r="Q102" i="6"/>
  <c r="J101" i="4" s="1"/>
  <c r="Q98" i="6"/>
  <c r="J97" i="4" s="1"/>
  <c r="Q94" i="6"/>
  <c r="J93" i="4" s="1"/>
  <c r="Q90" i="6"/>
  <c r="Q86" i="6"/>
  <c r="J85" i="4" s="1"/>
  <c r="Q82" i="6"/>
  <c r="J81" i="4" s="1"/>
  <c r="Q78" i="6"/>
  <c r="J77" i="4" s="1"/>
  <c r="Q74" i="6"/>
  <c r="Q70" i="6"/>
  <c r="J69" i="4" s="1"/>
  <c r="Q66" i="6"/>
  <c r="J65" i="4" s="1"/>
  <c r="Q62" i="6"/>
  <c r="J61" i="4" s="1"/>
  <c r="Q58" i="6"/>
  <c r="Q54" i="6"/>
  <c r="J58" i="4" s="1"/>
  <c r="Q50" i="6"/>
  <c r="J49" i="4" s="1"/>
  <c r="Q46" i="6"/>
  <c r="Q42" i="6"/>
  <c r="J41" i="4" s="1"/>
  <c r="Q38" i="6"/>
  <c r="Q34" i="6"/>
  <c r="J33" i="4" s="1"/>
  <c r="Q30" i="6"/>
  <c r="Q22" i="6"/>
  <c r="Q18" i="6"/>
  <c r="Q14" i="6"/>
  <c r="J13" i="4" s="1"/>
  <c r="Q10" i="6"/>
  <c r="Q5" i="6"/>
  <c r="J121" i="4" s="1"/>
  <c r="Q113" i="6"/>
  <c r="Q109" i="6"/>
  <c r="J108" i="4" s="1"/>
  <c r="Q101" i="6"/>
  <c r="J100" i="4" s="1"/>
  <c r="Q97" i="6"/>
  <c r="Q93" i="6"/>
  <c r="J92" i="4" s="1"/>
  <c r="Q89" i="6"/>
  <c r="J78" i="4" s="1"/>
  <c r="Q85" i="6"/>
  <c r="J84" i="4" s="1"/>
  <c r="Q81" i="6"/>
  <c r="Q77" i="6"/>
  <c r="Q73" i="6"/>
  <c r="J72" i="4" s="1"/>
  <c r="Q69" i="6"/>
  <c r="J68" i="4" s="1"/>
  <c r="Q65" i="6"/>
  <c r="J64" i="4" s="1"/>
  <c r="Q61" i="6"/>
  <c r="J60" i="4" s="1"/>
  <c r="Q57" i="6"/>
  <c r="J45" i="4" s="1"/>
  <c r="Q53" i="6"/>
  <c r="J52" i="4" s="1"/>
  <c r="Q49" i="6"/>
  <c r="J48" i="4" s="1"/>
  <c r="Q45" i="6"/>
  <c r="Q41" i="6"/>
  <c r="Q37" i="6"/>
  <c r="J36" i="4" s="1"/>
  <c r="Q33" i="6"/>
  <c r="J32" i="4" s="1"/>
  <c r="Q29" i="6"/>
  <c r="Q25" i="6"/>
  <c r="Q21" i="6"/>
  <c r="J20" i="4" s="1"/>
  <c r="Q17" i="6"/>
  <c r="J16" i="4" s="1"/>
  <c r="Q13" i="6"/>
  <c r="Q9" i="6"/>
  <c r="Q120" i="6"/>
  <c r="Q116" i="6"/>
  <c r="Q108" i="6"/>
  <c r="Q104" i="6"/>
  <c r="J103" i="4" s="1"/>
  <c r="Q100" i="6"/>
  <c r="Q96" i="6"/>
  <c r="Q92" i="6"/>
  <c r="Q76" i="6"/>
  <c r="Q72" i="6"/>
  <c r="J71" i="4" s="1"/>
  <c r="Q68" i="6"/>
  <c r="J67" i="4" s="1"/>
  <c r="Q64" i="6"/>
  <c r="Q60" i="6"/>
  <c r="J59" i="4" s="1"/>
  <c r="Q56" i="6"/>
  <c r="J55" i="4" s="1"/>
  <c r="Q52" i="6"/>
  <c r="Q48" i="6"/>
  <c r="Q44" i="6"/>
  <c r="J9" i="4" s="1"/>
  <c r="Q40" i="6"/>
  <c r="J39" i="4" s="1"/>
  <c r="Q36" i="6"/>
  <c r="J35" i="4" s="1"/>
  <c r="Q32" i="6"/>
  <c r="J31" i="4" s="1"/>
  <c r="Q24" i="6"/>
  <c r="J23" i="4" s="1"/>
  <c r="Q20" i="6"/>
  <c r="J19" i="4" s="1"/>
  <c r="Q8" i="6"/>
  <c r="J7" i="4" s="1"/>
  <c r="J113" i="4"/>
  <c r="J57" i="4"/>
  <c r="Q39" i="6"/>
  <c r="Q35" i="6"/>
  <c r="J34" i="4" s="1"/>
  <c r="Q23" i="6"/>
  <c r="J22" i="4" s="1"/>
  <c r="Q19" i="6"/>
  <c r="Q15" i="6"/>
  <c r="J14" i="4" s="1"/>
  <c r="Q11" i="6"/>
  <c r="J29" i="4" s="1"/>
  <c r="Q7" i="6"/>
  <c r="J104" i="4"/>
  <c r="J87" i="4"/>
  <c r="J88" i="4"/>
  <c r="J83" i="4"/>
  <c r="J75" i="4"/>
  <c r="J26" i="4"/>
  <c r="J94" i="4"/>
  <c r="J82" i="4"/>
  <c r="J42" i="4"/>
  <c r="J90" i="4"/>
  <c r="J5" i="4"/>
  <c r="J98" i="4"/>
  <c r="J46" i="4"/>
  <c r="J3" i="4"/>
  <c r="BK4" i="4"/>
  <c r="BM4" i="4"/>
  <c r="BO4" i="4"/>
  <c r="BP4" i="4"/>
  <c r="BK5" i="4"/>
  <c r="BM5" i="4"/>
  <c r="BO5" i="4"/>
  <c r="BP5" i="4"/>
  <c r="BK6" i="4"/>
  <c r="BM6" i="4"/>
  <c r="BO6" i="4"/>
  <c r="BP6" i="4"/>
  <c r="BK7" i="4"/>
  <c r="BM7" i="4"/>
  <c r="BO7" i="4"/>
  <c r="BP7" i="4"/>
  <c r="BK8" i="4"/>
  <c r="BM8" i="4"/>
  <c r="BO8" i="4"/>
  <c r="BP8" i="4"/>
  <c r="BK9" i="4"/>
  <c r="BM9" i="4"/>
  <c r="BO9" i="4"/>
  <c r="BP9" i="4"/>
  <c r="BK10" i="4"/>
  <c r="BM10" i="4"/>
  <c r="BO10" i="4"/>
  <c r="BP10" i="4"/>
  <c r="BK11" i="4"/>
  <c r="BM11" i="4"/>
  <c r="BO11" i="4"/>
  <c r="BP11" i="4"/>
  <c r="BK12" i="4"/>
  <c r="BM12" i="4"/>
  <c r="BO12" i="4"/>
  <c r="BP12" i="4"/>
  <c r="BK13" i="4"/>
  <c r="BM13" i="4"/>
  <c r="BO13" i="4"/>
  <c r="BP13" i="4"/>
  <c r="BK14" i="4"/>
  <c r="BM14" i="4"/>
  <c r="BO14" i="4"/>
  <c r="BP14" i="4"/>
  <c r="BK15" i="4"/>
  <c r="BM15" i="4"/>
  <c r="BO15" i="4"/>
  <c r="BP15" i="4"/>
  <c r="BK16" i="4"/>
  <c r="BM16" i="4"/>
  <c r="BO16" i="4"/>
  <c r="BP16" i="4"/>
  <c r="BK17" i="4"/>
  <c r="BM17" i="4"/>
  <c r="BO17" i="4"/>
  <c r="BP17" i="4"/>
  <c r="BK18" i="4"/>
  <c r="BM18" i="4"/>
  <c r="BO18" i="4"/>
  <c r="BP18" i="4"/>
  <c r="BK19" i="4"/>
  <c r="BM19" i="4"/>
  <c r="BO19" i="4"/>
  <c r="BP19" i="4"/>
  <c r="BK20" i="4"/>
  <c r="BM20" i="4"/>
  <c r="BO20" i="4"/>
  <c r="BP20" i="4"/>
  <c r="BK21" i="4"/>
  <c r="BM21" i="4"/>
  <c r="BO21" i="4"/>
  <c r="BP21" i="4"/>
  <c r="BK22" i="4"/>
  <c r="BM22" i="4"/>
  <c r="BO22" i="4"/>
  <c r="BP22" i="4"/>
  <c r="BK23" i="4"/>
  <c r="BM23" i="4"/>
  <c r="BO23" i="4"/>
  <c r="BP23" i="4"/>
  <c r="BK24" i="4"/>
  <c r="BM24" i="4"/>
  <c r="BO24" i="4"/>
  <c r="BP24" i="4"/>
  <c r="BK25" i="4"/>
  <c r="BM25" i="4"/>
  <c r="BO25" i="4"/>
  <c r="BP25" i="4"/>
  <c r="BK26" i="4"/>
  <c r="BM26" i="4"/>
  <c r="BO26" i="4"/>
  <c r="BP26" i="4"/>
  <c r="BK27" i="4"/>
  <c r="BM27" i="4"/>
  <c r="BO27" i="4"/>
  <c r="BP27" i="4"/>
  <c r="BK28" i="4"/>
  <c r="BM28" i="4"/>
  <c r="BO28" i="4"/>
  <c r="BP28" i="4"/>
  <c r="BK29" i="4"/>
  <c r="BM29" i="4"/>
  <c r="BO29" i="4"/>
  <c r="BP29" i="4"/>
  <c r="BK30" i="4"/>
  <c r="BM30" i="4"/>
  <c r="BO30" i="4"/>
  <c r="BP30" i="4"/>
  <c r="BK31" i="4"/>
  <c r="BM31" i="4"/>
  <c r="BO31" i="4"/>
  <c r="BP31" i="4"/>
  <c r="BK32" i="4"/>
  <c r="BM32" i="4"/>
  <c r="BO32" i="4"/>
  <c r="BP32" i="4"/>
  <c r="BK33" i="4"/>
  <c r="BM33" i="4"/>
  <c r="BO33" i="4"/>
  <c r="BP33" i="4"/>
  <c r="BK34" i="4"/>
  <c r="BM34" i="4"/>
  <c r="BO34" i="4"/>
  <c r="BP34" i="4"/>
  <c r="BK35" i="4"/>
  <c r="BM35" i="4"/>
  <c r="BO35" i="4"/>
  <c r="BP35" i="4"/>
  <c r="BK36" i="4"/>
  <c r="BM36" i="4"/>
  <c r="BO36" i="4"/>
  <c r="BP36" i="4"/>
  <c r="BK37" i="4"/>
  <c r="BM37" i="4"/>
  <c r="BO37" i="4"/>
  <c r="BP37" i="4"/>
  <c r="BK38" i="4"/>
  <c r="BM38" i="4"/>
  <c r="BO38" i="4"/>
  <c r="BP38" i="4"/>
  <c r="BK39" i="4"/>
  <c r="BM39" i="4"/>
  <c r="BO39" i="4"/>
  <c r="BP39" i="4"/>
  <c r="BK40" i="4"/>
  <c r="BM40" i="4"/>
  <c r="BO40" i="4"/>
  <c r="BP40" i="4"/>
  <c r="BK41" i="4"/>
  <c r="BM41" i="4"/>
  <c r="BO41" i="4"/>
  <c r="BP41" i="4"/>
  <c r="BK42" i="4"/>
  <c r="BM42" i="4"/>
  <c r="BO42" i="4"/>
  <c r="BP42" i="4"/>
  <c r="BK43" i="4"/>
  <c r="BM43" i="4"/>
  <c r="BO43" i="4"/>
  <c r="BP43" i="4"/>
  <c r="BK44" i="4"/>
  <c r="BM44" i="4"/>
  <c r="BO44" i="4"/>
  <c r="BP44" i="4"/>
  <c r="BK45" i="4"/>
  <c r="BM45" i="4"/>
  <c r="BO45" i="4"/>
  <c r="BP45" i="4"/>
  <c r="BK46" i="4"/>
  <c r="BM46" i="4"/>
  <c r="BO46" i="4"/>
  <c r="BP46" i="4"/>
  <c r="BK47" i="4"/>
  <c r="BM47" i="4"/>
  <c r="BO47" i="4"/>
  <c r="BP47" i="4"/>
  <c r="BK48" i="4"/>
  <c r="BM48" i="4"/>
  <c r="BO48" i="4"/>
  <c r="BP48" i="4"/>
  <c r="BK49" i="4"/>
  <c r="BM49" i="4"/>
  <c r="BO49" i="4"/>
  <c r="BP49" i="4"/>
  <c r="BK50" i="4"/>
  <c r="BM50" i="4"/>
  <c r="BO50" i="4"/>
  <c r="BP50" i="4"/>
  <c r="BK51" i="4"/>
  <c r="BM51" i="4"/>
  <c r="BO51" i="4"/>
  <c r="BP51" i="4"/>
  <c r="BK52" i="4"/>
  <c r="BM52" i="4"/>
  <c r="BO52" i="4"/>
  <c r="BP52" i="4"/>
  <c r="BK53" i="4"/>
  <c r="BM53" i="4"/>
  <c r="BO53" i="4"/>
  <c r="BP53" i="4"/>
  <c r="BK54" i="4"/>
  <c r="BM54" i="4"/>
  <c r="BO54" i="4"/>
  <c r="BP54" i="4"/>
  <c r="BK55" i="4"/>
  <c r="BM55" i="4"/>
  <c r="BO55" i="4"/>
  <c r="BP55" i="4"/>
  <c r="BK56" i="4"/>
  <c r="BM56" i="4"/>
  <c r="BO56" i="4"/>
  <c r="BP56" i="4"/>
  <c r="BK57" i="4"/>
  <c r="BM57" i="4"/>
  <c r="BO57" i="4"/>
  <c r="BP57" i="4"/>
  <c r="BK58" i="4"/>
  <c r="BM58" i="4"/>
  <c r="BO58" i="4"/>
  <c r="BP58" i="4"/>
  <c r="BK59" i="4"/>
  <c r="BM59" i="4"/>
  <c r="BO59" i="4"/>
  <c r="BP59" i="4"/>
  <c r="BK60" i="4"/>
  <c r="BM60" i="4"/>
  <c r="BO60" i="4"/>
  <c r="BP60" i="4"/>
  <c r="BK61" i="4"/>
  <c r="BM61" i="4"/>
  <c r="BO61" i="4"/>
  <c r="BP61" i="4"/>
  <c r="BK62" i="4"/>
  <c r="BM62" i="4"/>
  <c r="BO62" i="4"/>
  <c r="BP62" i="4"/>
  <c r="BK63" i="4"/>
  <c r="BM63" i="4"/>
  <c r="BO63" i="4"/>
  <c r="BP63" i="4"/>
  <c r="BK64" i="4"/>
  <c r="BM64" i="4"/>
  <c r="BO64" i="4"/>
  <c r="BP64" i="4"/>
  <c r="BK65" i="4"/>
  <c r="BM65" i="4"/>
  <c r="BO65" i="4"/>
  <c r="BP65" i="4"/>
  <c r="BK66" i="4"/>
  <c r="BM66" i="4"/>
  <c r="BO66" i="4"/>
  <c r="BP66" i="4"/>
  <c r="BK67" i="4"/>
  <c r="BM67" i="4"/>
  <c r="BO67" i="4"/>
  <c r="BP67" i="4"/>
  <c r="BK68" i="4"/>
  <c r="BM68" i="4"/>
  <c r="BO68" i="4"/>
  <c r="BP68" i="4"/>
  <c r="BK69" i="4"/>
  <c r="BM69" i="4"/>
  <c r="BO69" i="4"/>
  <c r="BP69" i="4"/>
  <c r="BK70" i="4"/>
  <c r="BM70" i="4"/>
  <c r="BO70" i="4"/>
  <c r="BP70" i="4"/>
  <c r="BK71" i="4"/>
  <c r="BM71" i="4"/>
  <c r="BO71" i="4"/>
  <c r="BP71" i="4"/>
  <c r="BK72" i="4"/>
  <c r="BM72" i="4"/>
  <c r="BO72" i="4"/>
  <c r="BP72" i="4"/>
  <c r="BK73" i="4"/>
  <c r="BM73" i="4"/>
  <c r="BO73" i="4"/>
  <c r="BP73" i="4"/>
  <c r="BK74" i="4"/>
  <c r="BM74" i="4"/>
  <c r="BO74" i="4"/>
  <c r="BP74" i="4"/>
  <c r="BK75" i="4"/>
  <c r="BM75" i="4"/>
  <c r="BO75" i="4"/>
  <c r="BP75" i="4"/>
  <c r="BK76" i="4"/>
  <c r="BM76" i="4"/>
  <c r="BO76" i="4"/>
  <c r="BP76" i="4"/>
  <c r="BK77" i="4"/>
  <c r="BM77" i="4"/>
  <c r="BO77" i="4"/>
  <c r="BP77" i="4"/>
  <c r="BK78" i="4"/>
  <c r="BM78" i="4"/>
  <c r="BO78" i="4"/>
  <c r="BP78" i="4"/>
  <c r="BK79" i="4"/>
  <c r="BM79" i="4"/>
  <c r="BO79" i="4"/>
  <c r="BP79" i="4"/>
  <c r="BK80" i="4"/>
  <c r="BM80" i="4"/>
  <c r="BO80" i="4"/>
  <c r="BP80" i="4"/>
  <c r="BK81" i="4"/>
  <c r="BM81" i="4"/>
  <c r="BO81" i="4"/>
  <c r="BP81" i="4"/>
  <c r="BK82" i="4"/>
  <c r="BM82" i="4"/>
  <c r="BO82" i="4"/>
  <c r="BP82" i="4"/>
  <c r="BK83" i="4"/>
  <c r="BM83" i="4"/>
  <c r="BO83" i="4"/>
  <c r="BP83" i="4"/>
  <c r="BK84" i="4"/>
  <c r="BM84" i="4"/>
  <c r="BO84" i="4"/>
  <c r="BP84" i="4"/>
  <c r="BK85" i="4"/>
  <c r="BM85" i="4"/>
  <c r="BO85" i="4"/>
  <c r="BP85" i="4"/>
  <c r="BK86" i="4"/>
  <c r="BM86" i="4"/>
  <c r="BO86" i="4"/>
  <c r="BP86" i="4"/>
  <c r="BK87" i="4"/>
  <c r="BM87" i="4"/>
  <c r="BO87" i="4"/>
  <c r="BP87" i="4"/>
  <c r="BK88" i="4"/>
  <c r="BM88" i="4"/>
  <c r="BO88" i="4"/>
  <c r="BP88" i="4"/>
  <c r="BK89" i="4"/>
  <c r="BM89" i="4"/>
  <c r="BO89" i="4"/>
  <c r="BP89" i="4"/>
  <c r="BK90" i="4"/>
  <c r="BM90" i="4"/>
  <c r="BO90" i="4"/>
  <c r="BP90" i="4"/>
  <c r="BK91" i="4"/>
  <c r="BM91" i="4"/>
  <c r="BO91" i="4"/>
  <c r="BP91" i="4"/>
  <c r="BK92" i="4"/>
  <c r="BM92" i="4"/>
  <c r="BO92" i="4"/>
  <c r="BP92" i="4"/>
  <c r="BK93" i="4"/>
  <c r="BM93" i="4"/>
  <c r="BO93" i="4"/>
  <c r="BP93" i="4"/>
  <c r="BK94" i="4"/>
  <c r="BM94" i="4"/>
  <c r="BO94" i="4"/>
  <c r="BP94" i="4"/>
  <c r="BK95" i="4"/>
  <c r="BM95" i="4"/>
  <c r="BO95" i="4"/>
  <c r="BP95" i="4"/>
  <c r="BK96" i="4"/>
  <c r="BM96" i="4"/>
  <c r="BO96" i="4"/>
  <c r="BP96" i="4"/>
  <c r="BK97" i="4"/>
  <c r="BM97" i="4"/>
  <c r="BO97" i="4"/>
  <c r="BP97" i="4"/>
  <c r="BK98" i="4"/>
  <c r="BM98" i="4"/>
  <c r="BO98" i="4"/>
  <c r="BP98" i="4"/>
  <c r="BK99" i="4"/>
  <c r="BM99" i="4"/>
  <c r="BO99" i="4"/>
  <c r="BP99" i="4"/>
  <c r="BK100" i="4"/>
  <c r="BM100" i="4"/>
  <c r="BO100" i="4"/>
  <c r="BP100" i="4"/>
  <c r="BK101" i="4"/>
  <c r="BM101" i="4"/>
  <c r="BO101" i="4"/>
  <c r="BP101" i="4"/>
  <c r="BK102" i="4"/>
  <c r="BM102" i="4"/>
  <c r="BO102" i="4"/>
  <c r="BP102" i="4"/>
  <c r="BK103" i="4"/>
  <c r="BM103" i="4"/>
  <c r="BO103" i="4"/>
  <c r="BP103" i="4"/>
  <c r="BK104" i="4"/>
  <c r="BM104" i="4"/>
  <c r="BO104" i="4"/>
  <c r="BP104" i="4"/>
  <c r="BK105" i="4"/>
  <c r="BM105" i="4"/>
  <c r="BO105" i="4"/>
  <c r="BP105" i="4"/>
  <c r="BK106" i="4"/>
  <c r="BM106" i="4"/>
  <c r="BO106" i="4"/>
  <c r="BP106" i="4"/>
  <c r="BK107" i="4"/>
  <c r="BM107" i="4"/>
  <c r="BO107" i="4"/>
  <c r="BP107" i="4"/>
  <c r="BK108" i="4"/>
  <c r="BM108" i="4"/>
  <c r="BO108" i="4"/>
  <c r="BP108" i="4"/>
  <c r="BK109" i="4"/>
  <c r="BM109" i="4"/>
  <c r="BO109" i="4"/>
  <c r="BP109" i="4"/>
  <c r="BK110" i="4"/>
  <c r="BM110" i="4"/>
  <c r="BO110" i="4"/>
  <c r="BP110" i="4"/>
  <c r="BK111" i="4"/>
  <c r="BM111" i="4"/>
  <c r="BO111" i="4"/>
  <c r="BP111" i="4"/>
  <c r="BK112" i="4"/>
  <c r="BM112" i="4"/>
  <c r="BO112" i="4"/>
  <c r="BP112" i="4"/>
  <c r="BK113" i="4"/>
  <c r="BM113" i="4"/>
  <c r="BO113" i="4"/>
  <c r="BP113" i="4"/>
  <c r="BK114" i="4"/>
  <c r="BM114" i="4"/>
  <c r="BO114" i="4"/>
  <c r="BP114" i="4"/>
  <c r="BK115" i="4"/>
  <c r="BM115" i="4"/>
  <c r="BO115" i="4"/>
  <c r="BP115" i="4"/>
  <c r="BK116" i="4"/>
  <c r="BM116" i="4"/>
  <c r="BO116" i="4"/>
  <c r="BP116" i="4"/>
  <c r="BK117" i="4"/>
  <c r="BM117" i="4"/>
  <c r="BO117" i="4"/>
  <c r="BP117" i="4"/>
  <c r="BK118" i="4"/>
  <c r="BM118" i="4"/>
  <c r="BO118" i="4"/>
  <c r="BP118" i="4"/>
  <c r="BK119" i="4"/>
  <c r="BM119" i="4"/>
  <c r="BO119" i="4"/>
  <c r="BP119" i="4"/>
  <c r="BK120" i="4"/>
  <c r="BM120" i="4"/>
  <c r="BO120" i="4"/>
  <c r="BP120" i="4"/>
  <c r="BK121" i="4"/>
  <c r="BM121" i="4"/>
  <c r="BO121" i="4"/>
  <c r="BP121" i="4"/>
  <c r="BK3" i="4"/>
  <c r="BX98" i="6"/>
  <c r="J21" i="4" l="1"/>
  <c r="J40" i="4"/>
  <c r="BU6" i="4"/>
  <c r="BQ84" i="4"/>
  <c r="J43" i="4"/>
  <c r="J86" i="4"/>
  <c r="J63" i="4"/>
  <c r="J8" i="4"/>
  <c r="J12" i="4"/>
  <c r="J10" i="4"/>
  <c r="J56" i="4"/>
  <c r="J89" i="4"/>
  <c r="J6" i="4"/>
  <c r="J110" i="4"/>
  <c r="J38" i="4"/>
  <c r="J91" i="4"/>
  <c r="J44" i="4"/>
  <c r="J4" i="4"/>
  <c r="J30" i="4"/>
  <c r="J53" i="4"/>
  <c r="J37" i="4"/>
  <c r="BS32" i="4"/>
  <c r="BQ118" i="4"/>
  <c r="BQ114" i="4"/>
  <c r="BQ110" i="4"/>
  <c r="BQ102" i="4"/>
  <c r="BQ98" i="4"/>
  <c r="BQ93" i="4"/>
  <c r="BQ26" i="4"/>
  <c r="BQ10" i="4"/>
  <c r="BU114" i="4"/>
  <c r="BS112" i="4"/>
  <c r="BU98" i="4"/>
  <c r="BS96" i="4"/>
  <c r="BS91" i="4"/>
  <c r="BU89" i="4"/>
  <c r="BQ83" i="4"/>
  <c r="BU79" i="4"/>
  <c r="BQ67" i="4"/>
  <c r="BS57" i="4"/>
  <c r="BS16" i="4"/>
  <c r="J54" i="4"/>
  <c r="J102" i="4"/>
  <c r="J24" i="4"/>
  <c r="J114" i="4"/>
  <c r="J66" i="4"/>
  <c r="J96" i="4"/>
  <c r="J18" i="4"/>
  <c r="J15" i="4"/>
  <c r="J47" i="4"/>
  <c r="J119" i="4"/>
  <c r="J76" i="4"/>
  <c r="J109" i="4"/>
  <c r="J99" i="4"/>
  <c r="J80" i="4"/>
  <c r="J51" i="4"/>
  <c r="J17" i="4"/>
  <c r="J28" i="4"/>
  <c r="J112" i="4"/>
  <c r="J107" i="4"/>
  <c r="J25" i="4"/>
  <c r="J95" i="4"/>
  <c r="J115" i="4"/>
  <c r="J117" i="4"/>
  <c r="J73" i="4"/>
  <c r="BU120" i="4"/>
  <c r="BS118" i="4"/>
  <c r="BS110" i="4"/>
  <c r="BU108" i="4"/>
  <c r="BS106" i="4"/>
  <c r="BS102" i="4"/>
  <c r="BS94" i="4"/>
  <c r="BU94" i="4"/>
  <c r="BU92" i="4"/>
  <c r="BS92" i="4"/>
  <c r="BU88" i="4"/>
  <c r="BS88" i="4"/>
  <c r="BS86" i="4"/>
  <c r="BU86" i="4"/>
  <c r="BU84" i="4"/>
  <c r="BS84" i="4"/>
  <c r="BS82" i="4"/>
  <c r="BU82" i="4"/>
  <c r="BU80" i="4"/>
  <c r="BS80" i="4"/>
  <c r="BS78" i="4"/>
  <c r="BU78" i="4"/>
  <c r="BU76" i="4"/>
  <c r="BS76" i="4"/>
  <c r="BS74" i="4"/>
  <c r="BU74" i="4"/>
  <c r="BU72" i="4"/>
  <c r="BS72" i="4"/>
  <c r="BS70" i="4"/>
  <c r="BU70" i="4"/>
  <c r="BU68" i="4"/>
  <c r="BS68" i="4"/>
  <c r="BS66" i="4"/>
  <c r="BU66" i="4"/>
  <c r="BU64" i="4"/>
  <c r="BS64" i="4"/>
  <c r="BS62" i="4"/>
  <c r="BU62" i="4"/>
  <c r="BU60" i="4"/>
  <c r="BS60" i="4"/>
  <c r="BS58" i="4"/>
  <c r="BU58" i="4"/>
  <c r="BU56" i="4"/>
  <c r="BS56" i="4"/>
  <c r="BS54" i="4"/>
  <c r="BU54" i="4"/>
  <c r="BU52" i="4"/>
  <c r="BS52" i="4"/>
  <c r="BS50" i="4"/>
  <c r="BU50" i="4"/>
  <c r="BU48" i="4"/>
  <c r="BS48" i="4"/>
  <c r="BS46" i="4"/>
  <c r="BU46" i="4"/>
  <c r="BU44" i="4"/>
  <c r="BS44" i="4"/>
  <c r="BS42" i="4"/>
  <c r="BU42" i="4"/>
  <c r="BU40" i="4"/>
  <c r="BS40" i="4"/>
  <c r="BS38" i="4"/>
  <c r="BU38" i="4"/>
  <c r="BU36" i="4"/>
  <c r="BS36" i="4"/>
  <c r="BS34" i="4"/>
  <c r="BU34" i="4"/>
  <c r="BU118" i="4"/>
  <c r="BQ106" i="4"/>
  <c r="BU102" i="4"/>
  <c r="BQ120" i="4"/>
  <c r="BQ116" i="4"/>
  <c r="BQ112" i="4"/>
  <c r="BQ108" i="4"/>
  <c r="BQ104" i="4"/>
  <c r="BQ100" i="4"/>
  <c r="BQ96" i="4"/>
  <c r="BQ94" i="4"/>
  <c r="BQ92" i="4"/>
  <c r="BQ90" i="4"/>
  <c r="BQ88" i="4"/>
  <c r="BQ86" i="4"/>
  <c r="BQ82" i="4"/>
  <c r="BQ80" i="4"/>
  <c r="BQ42" i="4"/>
  <c r="BS108" i="4"/>
  <c r="BU104" i="4"/>
  <c r="BU100" i="4"/>
  <c r="BS121" i="4"/>
  <c r="BU121" i="4"/>
  <c r="BU119" i="4"/>
  <c r="BS119" i="4"/>
  <c r="BU115" i="4"/>
  <c r="BS115" i="4"/>
  <c r="BS113" i="4"/>
  <c r="BU113" i="4"/>
  <c r="BS109" i="4"/>
  <c r="BU109" i="4"/>
  <c r="BU107" i="4"/>
  <c r="BS107" i="4"/>
  <c r="BU103" i="4"/>
  <c r="BS103" i="4"/>
  <c r="BS101" i="4"/>
  <c r="BU101" i="4"/>
  <c r="BS97" i="4"/>
  <c r="BU97" i="4"/>
  <c r="BS93" i="4"/>
  <c r="BU93" i="4"/>
  <c r="BS89" i="4"/>
  <c r="BS87" i="4"/>
  <c r="BU87" i="4"/>
  <c r="BS83" i="4"/>
  <c r="BU83" i="4"/>
  <c r="BS79" i="4"/>
  <c r="BS75" i="4"/>
  <c r="BU75" i="4"/>
  <c r="BS71" i="4"/>
  <c r="BU71" i="4"/>
  <c r="BS67" i="4"/>
  <c r="BU67" i="4"/>
  <c r="BS63" i="4"/>
  <c r="BS59" i="4"/>
  <c r="BU59" i="4"/>
  <c r="BS55" i="4"/>
  <c r="BU55" i="4"/>
  <c r="BS51" i="4"/>
  <c r="BU51" i="4"/>
  <c r="BS47" i="4"/>
  <c r="BU43" i="4"/>
  <c r="BS43" i="4"/>
  <c r="BU39" i="4"/>
  <c r="BS39" i="4"/>
  <c r="BU35" i="4"/>
  <c r="BS35" i="4"/>
  <c r="BS33" i="4"/>
  <c r="BU33" i="4"/>
  <c r="BU31" i="4"/>
  <c r="BS31" i="4"/>
  <c r="BU27" i="4"/>
  <c r="BS27" i="4"/>
  <c r="BS25" i="4"/>
  <c r="BU25" i="4"/>
  <c r="BU23" i="4"/>
  <c r="BS23" i="4"/>
  <c r="BS21" i="4"/>
  <c r="BU21" i="4"/>
  <c r="BU19" i="4"/>
  <c r="BS19" i="4"/>
  <c r="BS17" i="4"/>
  <c r="BU17" i="4"/>
  <c r="BU15" i="4"/>
  <c r="BS15" i="4"/>
  <c r="BS13" i="4"/>
  <c r="BU13" i="4"/>
  <c r="BU11" i="4"/>
  <c r="BS11" i="4"/>
  <c r="BS9" i="4"/>
  <c r="BU9" i="4"/>
  <c r="BU7" i="4"/>
  <c r="BS7" i="4"/>
  <c r="BS5" i="4"/>
  <c r="BU5" i="4"/>
  <c r="BS120" i="4"/>
  <c r="BU110" i="4"/>
  <c r="BS104" i="4"/>
  <c r="BU63" i="4"/>
  <c r="BQ51" i="4"/>
  <c r="BU116" i="4"/>
  <c r="BS114" i="4"/>
  <c r="BU112" i="4"/>
  <c r="BS98" i="4"/>
  <c r="BU96" i="4"/>
  <c r="BS90" i="4"/>
  <c r="BU90" i="4"/>
  <c r="BS117" i="4"/>
  <c r="BU117" i="4"/>
  <c r="BU111" i="4"/>
  <c r="BS111" i="4"/>
  <c r="BS105" i="4"/>
  <c r="BU105" i="4"/>
  <c r="BU99" i="4"/>
  <c r="BS99" i="4"/>
  <c r="BU95" i="4"/>
  <c r="BS95" i="4"/>
  <c r="BU91" i="4"/>
  <c r="BU85" i="4"/>
  <c r="BS85" i="4"/>
  <c r="BU81" i="4"/>
  <c r="BS81" i="4"/>
  <c r="BU77" i="4"/>
  <c r="BS77" i="4"/>
  <c r="BU73" i="4"/>
  <c r="BU69" i="4"/>
  <c r="BS69" i="4"/>
  <c r="BU65" i="4"/>
  <c r="BS65" i="4"/>
  <c r="BU61" i="4"/>
  <c r="BS61" i="4"/>
  <c r="BU57" i="4"/>
  <c r="BU53" i="4"/>
  <c r="BS53" i="4"/>
  <c r="BU49" i="4"/>
  <c r="BS49" i="4"/>
  <c r="BU45" i="4"/>
  <c r="BS45" i="4"/>
  <c r="BS41" i="4"/>
  <c r="BU41" i="4"/>
  <c r="BS37" i="4"/>
  <c r="BU37" i="4"/>
  <c r="BS29" i="4"/>
  <c r="BU29" i="4"/>
  <c r="BQ121" i="4"/>
  <c r="BQ119" i="4"/>
  <c r="BQ117" i="4"/>
  <c r="BQ115" i="4"/>
  <c r="BQ113" i="4"/>
  <c r="BQ111" i="4"/>
  <c r="BQ109" i="4"/>
  <c r="BQ107" i="4"/>
  <c r="BQ105" i="4"/>
  <c r="BQ103" i="4"/>
  <c r="BQ101" i="4"/>
  <c r="BQ99" i="4"/>
  <c r="BQ97" i="4"/>
  <c r="BQ95" i="4"/>
  <c r="BQ91" i="4"/>
  <c r="BQ89" i="4"/>
  <c r="BQ87" i="4"/>
  <c r="BQ85" i="4"/>
  <c r="BQ79" i="4"/>
  <c r="BQ75" i="4"/>
  <c r="BQ71" i="4"/>
  <c r="BQ63" i="4"/>
  <c r="BQ59" i="4"/>
  <c r="BQ55" i="4"/>
  <c r="BQ47" i="4"/>
  <c r="BS116" i="4"/>
  <c r="BU106" i="4"/>
  <c r="BS100" i="4"/>
  <c r="BS73" i="4"/>
  <c r="BU47" i="4"/>
  <c r="BQ81" i="4"/>
  <c r="BQ77" i="4"/>
  <c r="BQ73" i="4"/>
  <c r="BQ69" i="4"/>
  <c r="BQ65" i="4"/>
  <c r="BQ61" i="4"/>
  <c r="BQ57" i="4"/>
  <c r="BQ53" i="4"/>
  <c r="BQ49" i="4"/>
  <c r="BQ45" i="4"/>
  <c r="BQ43" i="4"/>
  <c r="BQ41" i="4"/>
  <c r="BQ39" i="4"/>
  <c r="BQ37" i="4"/>
  <c r="BQ35" i="4"/>
  <c r="BQ33" i="4"/>
  <c r="BQ31" i="4"/>
  <c r="BQ29" i="4"/>
  <c r="BQ27" i="4"/>
  <c r="BQ25" i="4"/>
  <c r="BQ23" i="4"/>
  <c r="BQ21" i="4"/>
  <c r="BQ19" i="4"/>
  <c r="BQ17" i="4"/>
  <c r="BQ15" i="4"/>
  <c r="BQ13" i="4"/>
  <c r="BQ11" i="4"/>
  <c r="BQ9" i="4"/>
  <c r="BQ7" i="4"/>
  <c r="BQ5" i="4"/>
  <c r="BU32" i="4"/>
  <c r="BS30" i="4"/>
  <c r="BU30" i="4"/>
  <c r="BU28" i="4"/>
  <c r="BS28" i="4"/>
  <c r="BS26" i="4"/>
  <c r="BU26" i="4"/>
  <c r="BU24" i="4"/>
  <c r="BS24" i="4"/>
  <c r="BS22" i="4"/>
  <c r="BU20" i="4"/>
  <c r="BS20" i="4"/>
  <c r="BS18" i="4"/>
  <c r="BU18" i="4"/>
  <c r="BU16" i="4"/>
  <c r="BS14" i="4"/>
  <c r="BU14" i="4"/>
  <c r="BU12" i="4"/>
  <c r="BS12" i="4"/>
  <c r="BS10" i="4"/>
  <c r="BU10" i="4"/>
  <c r="BU8" i="4"/>
  <c r="BS8" i="4"/>
  <c r="BS6" i="4"/>
  <c r="BU4" i="4"/>
  <c r="BS4" i="4"/>
  <c r="BQ78" i="4"/>
  <c r="BQ76" i="4"/>
  <c r="BQ74" i="4"/>
  <c r="BQ72" i="4"/>
  <c r="BQ70" i="4"/>
  <c r="BQ68" i="4"/>
  <c r="BQ66" i="4"/>
  <c r="BQ64" i="4"/>
  <c r="BQ62" i="4"/>
  <c r="BQ60" i="4"/>
  <c r="BQ58" i="4"/>
  <c r="BQ56" i="4"/>
  <c r="BQ54" i="4"/>
  <c r="BQ52" i="4"/>
  <c r="BQ50" i="4"/>
  <c r="BQ48" i="4"/>
  <c r="BQ46" i="4"/>
  <c r="BQ44" i="4"/>
  <c r="BQ40" i="4"/>
  <c r="BQ38" i="4"/>
  <c r="BQ36" i="4"/>
  <c r="BQ34" i="4"/>
  <c r="BQ32" i="4"/>
  <c r="BQ30" i="4"/>
  <c r="BQ28" i="4"/>
  <c r="BQ24" i="4"/>
  <c r="BQ22" i="4"/>
  <c r="BQ20" i="4"/>
  <c r="BQ18" i="4"/>
  <c r="BQ16" i="4"/>
  <c r="BQ14" i="4"/>
  <c r="BQ12" i="4"/>
  <c r="BQ8" i="4"/>
  <c r="BQ6" i="4"/>
  <c r="BQ4" i="4"/>
  <c r="BU22" i="4"/>
  <c r="L5" i="5" l="1"/>
  <c r="L7" i="5"/>
  <c r="K9" i="5"/>
  <c r="J9" i="5"/>
  <c r="L9" i="5" l="1"/>
  <c r="BJ4" i="1"/>
  <c r="BJ2" i="1"/>
  <c r="D21" i="2" l="1"/>
  <c r="D20" i="2"/>
  <c r="D23" i="2"/>
  <c r="D19" i="2"/>
  <c r="D22" i="2"/>
  <c r="BX5" i="6"/>
  <c r="BX6" i="6"/>
  <c r="BX7" i="6"/>
  <c r="BX8" i="6"/>
  <c r="BX9" i="6"/>
  <c r="BX10" i="6"/>
  <c r="BX11" i="6"/>
  <c r="BX12" i="6"/>
  <c r="BX13" i="6"/>
  <c r="BX14" i="6"/>
  <c r="BX15" i="6"/>
  <c r="BX16" i="6"/>
  <c r="BX17" i="6"/>
  <c r="BX18" i="6"/>
  <c r="BX19" i="6"/>
  <c r="BX20" i="6"/>
  <c r="BX21" i="6"/>
  <c r="BX22" i="6"/>
  <c r="BX23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51" i="6"/>
  <c r="BX52" i="6"/>
  <c r="BX53" i="6"/>
  <c r="BX54" i="6"/>
  <c r="BX55" i="6"/>
  <c r="BX56" i="6"/>
  <c r="BX57" i="6"/>
  <c r="BX58" i="6"/>
  <c r="BX59" i="6"/>
  <c r="BX60" i="6"/>
  <c r="BX61" i="6"/>
  <c r="BX62" i="6"/>
  <c r="BX63" i="6"/>
  <c r="BX64" i="6"/>
  <c r="BX65" i="6"/>
  <c r="BX66" i="6"/>
  <c r="BX67" i="6"/>
  <c r="BX68" i="6"/>
  <c r="BX69" i="6"/>
  <c r="BX70" i="6"/>
  <c r="BX71" i="6"/>
  <c r="BX72" i="6"/>
  <c r="BX73" i="6"/>
  <c r="BX74" i="6"/>
  <c r="BX75" i="6"/>
  <c r="BX76" i="6"/>
  <c r="BX77" i="6"/>
  <c r="BX78" i="6"/>
  <c r="BX79" i="6"/>
  <c r="BX80" i="6"/>
  <c r="BX81" i="6"/>
  <c r="BX82" i="6"/>
  <c r="BX83" i="6"/>
  <c r="BX84" i="6"/>
  <c r="BX85" i="6"/>
  <c r="BX86" i="6"/>
  <c r="BX87" i="6"/>
  <c r="BX88" i="6"/>
  <c r="BX89" i="6"/>
  <c r="BX90" i="6"/>
  <c r="BX91" i="6"/>
  <c r="BX92" i="6"/>
  <c r="BX93" i="6"/>
  <c r="BX94" i="6"/>
  <c r="BX95" i="6"/>
  <c r="BX96" i="6"/>
  <c r="BX97" i="6"/>
  <c r="BX99" i="6"/>
  <c r="BX100" i="6"/>
  <c r="BX101" i="6"/>
  <c r="BX102" i="6"/>
  <c r="BX103" i="6"/>
  <c r="BX104" i="6"/>
  <c r="BX105" i="6"/>
  <c r="BX106" i="6"/>
  <c r="BX107" i="6"/>
  <c r="BX108" i="6"/>
  <c r="BX109" i="6"/>
  <c r="BX110" i="6"/>
  <c r="BX111" i="6"/>
  <c r="BX112" i="6"/>
  <c r="BX113" i="6"/>
  <c r="BX114" i="6"/>
  <c r="BX115" i="6"/>
  <c r="BX116" i="6"/>
  <c r="BX117" i="6"/>
  <c r="BX118" i="6"/>
  <c r="BX119" i="6"/>
  <c r="BX120" i="6"/>
  <c r="BX121" i="6"/>
  <c r="BX122" i="6"/>
  <c r="BO122" i="6"/>
  <c r="BN122" i="6"/>
  <c r="BL122" i="6"/>
  <c r="BJ122" i="6"/>
  <c r="AL122" i="6"/>
  <c r="AJ122" i="6"/>
  <c r="BM122" i="6" s="1"/>
  <c r="BO121" i="6"/>
  <c r="BN121" i="6"/>
  <c r="BL121" i="6"/>
  <c r="BJ121" i="6"/>
  <c r="AL121" i="6"/>
  <c r="AJ121" i="6"/>
  <c r="BM121" i="6" s="1"/>
  <c r="BO120" i="6"/>
  <c r="BN120" i="6"/>
  <c r="BL120" i="6"/>
  <c r="BJ120" i="6"/>
  <c r="AL120" i="6"/>
  <c r="AJ120" i="6"/>
  <c r="BM120" i="6" s="1"/>
  <c r="BO119" i="6"/>
  <c r="BN119" i="6"/>
  <c r="BL119" i="6"/>
  <c r="BJ119" i="6"/>
  <c r="AL119" i="6"/>
  <c r="AJ119" i="6"/>
  <c r="BM119" i="6" s="1"/>
  <c r="BO118" i="6"/>
  <c r="BN118" i="6"/>
  <c r="BL118" i="6"/>
  <c r="BJ118" i="6"/>
  <c r="AL118" i="6"/>
  <c r="AJ118" i="6"/>
  <c r="BM118" i="6" s="1"/>
  <c r="BO117" i="6"/>
  <c r="BN117" i="6"/>
  <c r="BL117" i="6"/>
  <c r="BJ117" i="6"/>
  <c r="AL117" i="6"/>
  <c r="AJ117" i="6"/>
  <c r="BM117" i="6" s="1"/>
  <c r="BO116" i="6"/>
  <c r="BN116" i="6"/>
  <c r="BL116" i="6"/>
  <c r="BJ116" i="6"/>
  <c r="AL116" i="6"/>
  <c r="AJ116" i="6"/>
  <c r="BM116" i="6" s="1"/>
  <c r="BO115" i="6"/>
  <c r="BN115" i="6"/>
  <c r="BL115" i="6"/>
  <c r="BJ115" i="6"/>
  <c r="AL115" i="6"/>
  <c r="AJ115" i="6"/>
  <c r="BM115" i="6" s="1"/>
  <c r="BO114" i="6"/>
  <c r="BN114" i="6"/>
  <c r="BL114" i="6"/>
  <c r="BJ114" i="6"/>
  <c r="AL114" i="6"/>
  <c r="AJ114" i="6"/>
  <c r="BM114" i="6" s="1"/>
  <c r="BO113" i="6"/>
  <c r="BN113" i="6"/>
  <c r="BL113" i="6"/>
  <c r="BJ113" i="6"/>
  <c r="AL113" i="6"/>
  <c r="AJ113" i="6"/>
  <c r="BM113" i="6" s="1"/>
  <c r="BO112" i="6"/>
  <c r="BN112" i="6"/>
  <c r="BL112" i="6"/>
  <c r="BJ112" i="6"/>
  <c r="AL112" i="6"/>
  <c r="AJ112" i="6"/>
  <c r="BM112" i="6" s="1"/>
  <c r="BO111" i="6"/>
  <c r="BN111" i="6"/>
  <c r="BL111" i="6"/>
  <c r="BJ111" i="6"/>
  <c r="AL111" i="6"/>
  <c r="AJ111" i="6"/>
  <c r="BM111" i="6" s="1"/>
  <c r="BO110" i="6"/>
  <c r="BN110" i="6"/>
  <c r="BL110" i="6"/>
  <c r="BJ110" i="6"/>
  <c r="AL110" i="6"/>
  <c r="AJ110" i="6"/>
  <c r="BM110" i="6" s="1"/>
  <c r="BO109" i="6"/>
  <c r="BN109" i="6"/>
  <c r="BL109" i="6"/>
  <c r="BJ109" i="6"/>
  <c r="AL109" i="6"/>
  <c r="AJ109" i="6"/>
  <c r="BM109" i="6" s="1"/>
  <c r="BO108" i="6"/>
  <c r="BN108" i="6"/>
  <c r="BL108" i="6"/>
  <c r="BJ108" i="6"/>
  <c r="AL108" i="6"/>
  <c r="AJ108" i="6"/>
  <c r="BM108" i="6" s="1"/>
  <c r="BO107" i="6"/>
  <c r="BN107" i="6"/>
  <c r="BL107" i="6"/>
  <c r="BJ107" i="6"/>
  <c r="AL107" i="6"/>
  <c r="AJ107" i="6"/>
  <c r="BM107" i="6" s="1"/>
  <c r="BO106" i="6"/>
  <c r="BN106" i="6"/>
  <c r="BL106" i="6"/>
  <c r="BJ106" i="6"/>
  <c r="AL106" i="6"/>
  <c r="AJ106" i="6"/>
  <c r="BM106" i="6" s="1"/>
  <c r="BO105" i="6"/>
  <c r="BN105" i="6"/>
  <c r="BL105" i="6"/>
  <c r="BJ105" i="6"/>
  <c r="AL105" i="6"/>
  <c r="AJ105" i="6"/>
  <c r="BM105" i="6" s="1"/>
  <c r="BO104" i="6"/>
  <c r="BN104" i="6"/>
  <c r="BL104" i="6"/>
  <c r="BJ104" i="6"/>
  <c r="AL104" i="6"/>
  <c r="AJ104" i="6"/>
  <c r="BM104" i="6" s="1"/>
  <c r="BO103" i="6"/>
  <c r="BN103" i="6"/>
  <c r="BL103" i="6"/>
  <c r="BJ103" i="6"/>
  <c r="AL103" i="6"/>
  <c r="AJ103" i="6"/>
  <c r="BM103" i="6" s="1"/>
  <c r="BO102" i="6"/>
  <c r="BN102" i="6"/>
  <c r="BL102" i="6"/>
  <c r="BJ102" i="6"/>
  <c r="AL102" i="6"/>
  <c r="AJ102" i="6"/>
  <c r="BM102" i="6" s="1"/>
  <c r="BO101" i="6"/>
  <c r="BN101" i="6"/>
  <c r="BL101" i="6"/>
  <c r="BJ101" i="6"/>
  <c r="AL101" i="6"/>
  <c r="AJ101" i="6"/>
  <c r="BM101" i="6" s="1"/>
  <c r="BO100" i="6"/>
  <c r="BN100" i="6"/>
  <c r="BL100" i="6"/>
  <c r="BJ100" i="6"/>
  <c r="AL100" i="6"/>
  <c r="AJ100" i="6"/>
  <c r="BM100" i="6" s="1"/>
  <c r="BO99" i="6"/>
  <c r="BN99" i="6"/>
  <c r="BL99" i="6"/>
  <c r="BJ99" i="6"/>
  <c r="AL99" i="6"/>
  <c r="AJ99" i="6"/>
  <c r="BM99" i="6" s="1"/>
  <c r="BO98" i="6"/>
  <c r="BN98" i="6"/>
  <c r="BL98" i="6"/>
  <c r="BJ98" i="6"/>
  <c r="AL98" i="6"/>
  <c r="AJ98" i="6"/>
  <c r="BM98" i="6" s="1"/>
  <c r="BO97" i="6"/>
  <c r="BN97" i="6"/>
  <c r="BL97" i="6"/>
  <c r="BJ97" i="6"/>
  <c r="AL97" i="6"/>
  <c r="AJ97" i="6"/>
  <c r="BM97" i="6" s="1"/>
  <c r="BO96" i="6"/>
  <c r="BN96" i="6"/>
  <c r="BL96" i="6"/>
  <c r="BJ96" i="6"/>
  <c r="AL96" i="6"/>
  <c r="AJ96" i="6"/>
  <c r="BM96" i="6" s="1"/>
  <c r="BO95" i="6"/>
  <c r="BN95" i="6"/>
  <c r="BL95" i="6"/>
  <c r="BJ95" i="6"/>
  <c r="AL95" i="6"/>
  <c r="AJ95" i="6"/>
  <c r="BM95" i="6" s="1"/>
  <c r="BO94" i="6"/>
  <c r="BN94" i="6"/>
  <c r="BL94" i="6"/>
  <c r="BJ94" i="6"/>
  <c r="AL94" i="6"/>
  <c r="AJ94" i="6"/>
  <c r="BM94" i="6" s="1"/>
  <c r="BO93" i="6"/>
  <c r="BN93" i="6"/>
  <c r="BL93" i="6"/>
  <c r="BJ93" i="6"/>
  <c r="AL93" i="6"/>
  <c r="AJ93" i="6"/>
  <c r="BM93" i="6" s="1"/>
  <c r="BO92" i="6"/>
  <c r="BN92" i="6"/>
  <c r="BL92" i="6"/>
  <c r="BJ92" i="6"/>
  <c r="AL92" i="6"/>
  <c r="AJ92" i="6"/>
  <c r="BM92" i="6" s="1"/>
  <c r="BO91" i="6"/>
  <c r="BN91" i="6"/>
  <c r="BL91" i="6"/>
  <c r="BJ91" i="6"/>
  <c r="AL91" i="6"/>
  <c r="AJ91" i="6"/>
  <c r="BM91" i="6" s="1"/>
  <c r="BO90" i="6"/>
  <c r="BN90" i="6"/>
  <c r="BL90" i="6"/>
  <c r="BJ90" i="6"/>
  <c r="AL90" i="6"/>
  <c r="AJ90" i="6"/>
  <c r="BM90" i="6" s="1"/>
  <c r="BO89" i="6"/>
  <c r="BN89" i="6"/>
  <c r="BL89" i="6"/>
  <c r="BJ89" i="6"/>
  <c r="AL89" i="6"/>
  <c r="AJ89" i="6"/>
  <c r="BM89" i="6" s="1"/>
  <c r="BO88" i="6"/>
  <c r="BN88" i="6"/>
  <c r="BL88" i="6"/>
  <c r="BJ88" i="6"/>
  <c r="AL88" i="6"/>
  <c r="AJ88" i="6"/>
  <c r="BM88" i="6" s="1"/>
  <c r="BO87" i="6"/>
  <c r="BN87" i="6"/>
  <c r="BL87" i="6"/>
  <c r="BJ87" i="6"/>
  <c r="AL87" i="6"/>
  <c r="AJ87" i="6"/>
  <c r="BM87" i="6" s="1"/>
  <c r="BO86" i="6"/>
  <c r="BN86" i="6"/>
  <c r="BL86" i="6"/>
  <c r="BJ86" i="6"/>
  <c r="AL86" i="6"/>
  <c r="AJ86" i="6"/>
  <c r="BM86" i="6" s="1"/>
  <c r="BO85" i="6"/>
  <c r="BN85" i="6"/>
  <c r="BL85" i="6"/>
  <c r="BJ85" i="6"/>
  <c r="AL85" i="6"/>
  <c r="AJ85" i="6"/>
  <c r="BM85" i="6" s="1"/>
  <c r="BO84" i="6"/>
  <c r="BN84" i="6"/>
  <c r="BL84" i="6"/>
  <c r="BJ84" i="6"/>
  <c r="AL84" i="6"/>
  <c r="AJ84" i="6"/>
  <c r="BM84" i="6" s="1"/>
  <c r="BO83" i="6"/>
  <c r="BN83" i="6"/>
  <c r="BL83" i="6"/>
  <c r="BJ83" i="6"/>
  <c r="AL83" i="6"/>
  <c r="AJ83" i="6"/>
  <c r="BM83" i="6" s="1"/>
  <c r="BO82" i="6"/>
  <c r="BN82" i="6"/>
  <c r="BL82" i="6"/>
  <c r="BJ82" i="6"/>
  <c r="AL82" i="6"/>
  <c r="AJ82" i="6"/>
  <c r="BM82" i="6" s="1"/>
  <c r="BO81" i="6"/>
  <c r="BN81" i="6"/>
  <c r="BL81" i="6"/>
  <c r="BJ81" i="6"/>
  <c r="AL81" i="6"/>
  <c r="AJ81" i="6"/>
  <c r="BM81" i="6" s="1"/>
  <c r="BO80" i="6"/>
  <c r="BN80" i="6"/>
  <c r="BL80" i="6"/>
  <c r="BJ80" i="6"/>
  <c r="AL80" i="6"/>
  <c r="AJ80" i="6"/>
  <c r="BM80" i="6" s="1"/>
  <c r="BO79" i="6"/>
  <c r="BN79" i="6"/>
  <c r="BL79" i="6"/>
  <c r="BJ79" i="6"/>
  <c r="AL79" i="6"/>
  <c r="AJ79" i="6"/>
  <c r="BM79" i="6" s="1"/>
  <c r="BO78" i="6"/>
  <c r="BN78" i="6"/>
  <c r="BL78" i="6"/>
  <c r="BJ78" i="6"/>
  <c r="AL78" i="6"/>
  <c r="AJ78" i="6"/>
  <c r="BM78" i="6" s="1"/>
  <c r="BO77" i="6"/>
  <c r="BN77" i="6"/>
  <c r="BL77" i="6"/>
  <c r="BJ77" i="6"/>
  <c r="AL77" i="6"/>
  <c r="AJ77" i="6"/>
  <c r="BM77" i="6" s="1"/>
  <c r="BS77" i="6" s="1"/>
  <c r="BO76" i="6"/>
  <c r="BN76" i="6"/>
  <c r="BL76" i="6"/>
  <c r="BJ76" i="6"/>
  <c r="AL76" i="6"/>
  <c r="AJ76" i="6"/>
  <c r="BM76" i="6" s="1"/>
  <c r="BO75" i="6"/>
  <c r="BN75" i="6"/>
  <c r="BL75" i="6"/>
  <c r="BJ75" i="6"/>
  <c r="AL75" i="6"/>
  <c r="AJ75" i="6"/>
  <c r="BM75" i="6" s="1"/>
  <c r="BO74" i="6"/>
  <c r="BN74" i="6"/>
  <c r="BL74" i="6"/>
  <c r="BJ74" i="6"/>
  <c r="AL74" i="6"/>
  <c r="AJ74" i="6"/>
  <c r="BM74" i="6" s="1"/>
  <c r="BO73" i="6"/>
  <c r="BN73" i="6"/>
  <c r="BL73" i="6"/>
  <c r="BJ73" i="6"/>
  <c r="AL73" i="6"/>
  <c r="AJ73" i="6"/>
  <c r="BM73" i="6" s="1"/>
  <c r="BO72" i="6"/>
  <c r="BN72" i="6"/>
  <c r="BL72" i="6"/>
  <c r="BJ72" i="6"/>
  <c r="AL72" i="6"/>
  <c r="AJ72" i="6"/>
  <c r="BM72" i="6" s="1"/>
  <c r="BO71" i="6"/>
  <c r="BN71" i="6"/>
  <c r="BL71" i="6"/>
  <c r="BJ71" i="6"/>
  <c r="AL71" i="6"/>
  <c r="AJ71" i="6"/>
  <c r="BM71" i="6" s="1"/>
  <c r="BO70" i="6"/>
  <c r="BN70" i="6"/>
  <c r="BL70" i="6"/>
  <c r="BJ70" i="6"/>
  <c r="AL70" i="6"/>
  <c r="AJ70" i="6"/>
  <c r="BM70" i="6" s="1"/>
  <c r="BO69" i="6"/>
  <c r="BN69" i="6"/>
  <c r="BL69" i="6"/>
  <c r="BJ69" i="6"/>
  <c r="AL69" i="6"/>
  <c r="AJ69" i="6"/>
  <c r="BM69" i="6" s="1"/>
  <c r="BS69" i="6" s="1"/>
  <c r="BO68" i="6"/>
  <c r="BN68" i="6"/>
  <c r="BL68" i="6"/>
  <c r="BJ68" i="6"/>
  <c r="AL68" i="6"/>
  <c r="AJ68" i="6"/>
  <c r="BM68" i="6" s="1"/>
  <c r="BO67" i="6"/>
  <c r="BN67" i="6"/>
  <c r="BL67" i="6"/>
  <c r="BJ67" i="6"/>
  <c r="AL67" i="6"/>
  <c r="AJ67" i="6"/>
  <c r="BM67" i="6" s="1"/>
  <c r="BO66" i="6"/>
  <c r="BN66" i="6"/>
  <c r="BL66" i="6"/>
  <c r="BJ66" i="6"/>
  <c r="AL66" i="6"/>
  <c r="AJ66" i="6"/>
  <c r="BM66" i="6" s="1"/>
  <c r="BO65" i="6"/>
  <c r="BN65" i="6"/>
  <c r="BL65" i="6"/>
  <c r="BJ65" i="6"/>
  <c r="AL65" i="6"/>
  <c r="AJ65" i="6"/>
  <c r="BM65" i="6" s="1"/>
  <c r="BO64" i="6"/>
  <c r="BN64" i="6"/>
  <c r="BL64" i="6"/>
  <c r="BJ64" i="6"/>
  <c r="AL64" i="6"/>
  <c r="AJ64" i="6"/>
  <c r="BM64" i="6" s="1"/>
  <c r="BO63" i="6"/>
  <c r="BN63" i="6"/>
  <c r="BL63" i="6"/>
  <c r="BJ63" i="6"/>
  <c r="AL63" i="6"/>
  <c r="AJ63" i="6"/>
  <c r="BM63" i="6" s="1"/>
  <c r="BO62" i="6"/>
  <c r="BN62" i="6"/>
  <c r="BL62" i="6"/>
  <c r="BJ62" i="6"/>
  <c r="AL62" i="6"/>
  <c r="AJ62" i="6"/>
  <c r="BM62" i="6" s="1"/>
  <c r="BO61" i="6"/>
  <c r="BN61" i="6"/>
  <c r="BL61" i="6"/>
  <c r="BJ61" i="6"/>
  <c r="AL61" i="6"/>
  <c r="AJ61" i="6"/>
  <c r="BM61" i="6" s="1"/>
  <c r="BO60" i="6"/>
  <c r="BN60" i="6"/>
  <c r="BL60" i="6"/>
  <c r="BJ60" i="6"/>
  <c r="AL60" i="6"/>
  <c r="AJ60" i="6"/>
  <c r="BM60" i="6" s="1"/>
  <c r="BO59" i="6"/>
  <c r="BN59" i="6"/>
  <c r="BL59" i="6"/>
  <c r="BJ59" i="6"/>
  <c r="AL59" i="6"/>
  <c r="AJ59" i="6"/>
  <c r="BM59" i="6" s="1"/>
  <c r="BO58" i="6"/>
  <c r="BN58" i="6"/>
  <c r="BL58" i="6"/>
  <c r="BJ58" i="6"/>
  <c r="AL58" i="6"/>
  <c r="AJ58" i="6"/>
  <c r="BM58" i="6" s="1"/>
  <c r="BO57" i="6"/>
  <c r="BN57" i="6"/>
  <c r="BL57" i="6"/>
  <c r="BJ57" i="6"/>
  <c r="AL57" i="6"/>
  <c r="AJ57" i="6"/>
  <c r="BM57" i="6" s="1"/>
  <c r="BO56" i="6"/>
  <c r="BN56" i="6"/>
  <c r="BL56" i="6"/>
  <c r="BJ56" i="6"/>
  <c r="AL56" i="6"/>
  <c r="AJ56" i="6"/>
  <c r="BM56" i="6" s="1"/>
  <c r="BO55" i="6"/>
  <c r="BN55" i="6"/>
  <c r="BL55" i="6"/>
  <c r="BJ55" i="6"/>
  <c r="AL55" i="6"/>
  <c r="AJ55" i="6"/>
  <c r="BM55" i="6" s="1"/>
  <c r="BO54" i="6"/>
  <c r="BN54" i="6"/>
  <c r="BL54" i="6"/>
  <c r="BJ54" i="6"/>
  <c r="AL54" i="6"/>
  <c r="AJ54" i="6"/>
  <c r="BM54" i="6" s="1"/>
  <c r="BO53" i="6"/>
  <c r="BN53" i="6"/>
  <c r="BL53" i="6"/>
  <c r="BJ53" i="6"/>
  <c r="AL53" i="6"/>
  <c r="AJ53" i="6"/>
  <c r="BM53" i="6" s="1"/>
  <c r="BO52" i="6"/>
  <c r="BN52" i="6"/>
  <c r="BL52" i="6"/>
  <c r="BJ52" i="6"/>
  <c r="AL52" i="6"/>
  <c r="AJ52" i="6"/>
  <c r="BM52" i="6" s="1"/>
  <c r="BO51" i="6"/>
  <c r="BN51" i="6"/>
  <c r="BL51" i="6"/>
  <c r="BJ51" i="6"/>
  <c r="AL51" i="6"/>
  <c r="AJ51" i="6"/>
  <c r="BM51" i="6" s="1"/>
  <c r="BO50" i="6"/>
  <c r="BN50" i="6"/>
  <c r="BL50" i="6"/>
  <c r="BJ50" i="6"/>
  <c r="AL50" i="6"/>
  <c r="AJ50" i="6"/>
  <c r="BM50" i="6" s="1"/>
  <c r="BO49" i="6"/>
  <c r="BN49" i="6"/>
  <c r="BL49" i="6"/>
  <c r="BJ49" i="6"/>
  <c r="AL49" i="6"/>
  <c r="AJ49" i="6"/>
  <c r="BM49" i="6" s="1"/>
  <c r="BO48" i="6"/>
  <c r="BN48" i="6"/>
  <c r="BL48" i="6"/>
  <c r="BJ48" i="6"/>
  <c r="AL48" i="6"/>
  <c r="AJ48" i="6"/>
  <c r="BM48" i="6" s="1"/>
  <c r="BO47" i="6"/>
  <c r="BN47" i="6"/>
  <c r="BL47" i="6"/>
  <c r="BJ47" i="6"/>
  <c r="AL47" i="6"/>
  <c r="AJ47" i="6"/>
  <c r="BM47" i="6" s="1"/>
  <c r="BO46" i="6"/>
  <c r="BN46" i="6"/>
  <c r="BL46" i="6"/>
  <c r="BJ46" i="6"/>
  <c r="AL46" i="6"/>
  <c r="AJ46" i="6"/>
  <c r="BM46" i="6" s="1"/>
  <c r="BO45" i="6"/>
  <c r="BN45" i="6"/>
  <c r="BL45" i="6"/>
  <c r="BJ45" i="6"/>
  <c r="AL45" i="6"/>
  <c r="AJ45" i="6"/>
  <c r="BM45" i="6" s="1"/>
  <c r="BO44" i="6"/>
  <c r="BN44" i="6"/>
  <c r="BL44" i="6"/>
  <c r="BJ44" i="6"/>
  <c r="AL44" i="6"/>
  <c r="AJ44" i="6"/>
  <c r="BM44" i="6" s="1"/>
  <c r="BO43" i="6"/>
  <c r="BN43" i="6"/>
  <c r="BL43" i="6"/>
  <c r="BJ43" i="6"/>
  <c r="AL43" i="6"/>
  <c r="AJ43" i="6"/>
  <c r="BM43" i="6" s="1"/>
  <c r="BO42" i="6"/>
  <c r="BN42" i="6"/>
  <c r="BL42" i="6"/>
  <c r="BJ42" i="6"/>
  <c r="AL42" i="6"/>
  <c r="AJ42" i="6"/>
  <c r="BM42" i="6" s="1"/>
  <c r="BO41" i="6"/>
  <c r="BN41" i="6"/>
  <c r="BL41" i="6"/>
  <c r="BJ41" i="6"/>
  <c r="AL41" i="6"/>
  <c r="AJ41" i="6"/>
  <c r="BM41" i="6" s="1"/>
  <c r="BO40" i="6"/>
  <c r="BN40" i="6"/>
  <c r="BL40" i="6"/>
  <c r="BJ40" i="6"/>
  <c r="AL40" i="6"/>
  <c r="AJ40" i="6"/>
  <c r="BM40" i="6" s="1"/>
  <c r="BO39" i="6"/>
  <c r="BN39" i="6"/>
  <c r="BL39" i="6"/>
  <c r="BJ39" i="6"/>
  <c r="AL39" i="6"/>
  <c r="AJ39" i="6"/>
  <c r="BM39" i="6" s="1"/>
  <c r="BO38" i="6"/>
  <c r="BN38" i="6"/>
  <c r="BL38" i="6"/>
  <c r="BJ38" i="6"/>
  <c r="AL38" i="6"/>
  <c r="AJ38" i="6"/>
  <c r="BM38" i="6" s="1"/>
  <c r="BO37" i="6"/>
  <c r="BN37" i="6"/>
  <c r="BL37" i="6"/>
  <c r="BJ37" i="6"/>
  <c r="AL37" i="6"/>
  <c r="AJ37" i="6"/>
  <c r="BM37" i="6" s="1"/>
  <c r="BO36" i="6"/>
  <c r="BN36" i="6"/>
  <c r="BL36" i="6"/>
  <c r="BJ36" i="6"/>
  <c r="AL36" i="6"/>
  <c r="AJ36" i="6"/>
  <c r="BM36" i="6" s="1"/>
  <c r="BO35" i="6"/>
  <c r="BN35" i="6"/>
  <c r="BL35" i="6"/>
  <c r="BJ35" i="6"/>
  <c r="AL35" i="6"/>
  <c r="AJ35" i="6"/>
  <c r="BM35" i="6" s="1"/>
  <c r="BO34" i="6"/>
  <c r="BN34" i="6"/>
  <c r="BL34" i="6"/>
  <c r="BJ34" i="6"/>
  <c r="AL34" i="6"/>
  <c r="AJ34" i="6"/>
  <c r="BM34" i="6" s="1"/>
  <c r="BO33" i="6"/>
  <c r="BN33" i="6"/>
  <c r="BL33" i="6"/>
  <c r="BJ33" i="6"/>
  <c r="AL33" i="6"/>
  <c r="AJ33" i="6"/>
  <c r="BM33" i="6" s="1"/>
  <c r="BO32" i="6"/>
  <c r="BN32" i="6"/>
  <c r="BL32" i="6"/>
  <c r="BJ32" i="6"/>
  <c r="AL32" i="6"/>
  <c r="AJ32" i="6"/>
  <c r="BM32" i="6" s="1"/>
  <c r="BO31" i="6"/>
  <c r="BN31" i="6"/>
  <c r="BL31" i="6"/>
  <c r="BJ31" i="6"/>
  <c r="AL31" i="6"/>
  <c r="AJ31" i="6"/>
  <c r="BM31" i="6" s="1"/>
  <c r="BO30" i="6"/>
  <c r="BN30" i="6"/>
  <c r="BL30" i="6"/>
  <c r="BJ30" i="6"/>
  <c r="AL30" i="6"/>
  <c r="AJ30" i="6"/>
  <c r="BM30" i="6" s="1"/>
  <c r="BO29" i="6"/>
  <c r="BN29" i="6"/>
  <c r="BL29" i="6"/>
  <c r="BJ29" i="6"/>
  <c r="AL29" i="6"/>
  <c r="AJ29" i="6"/>
  <c r="BM29" i="6" s="1"/>
  <c r="BO28" i="6"/>
  <c r="BN28" i="6"/>
  <c r="BL28" i="6"/>
  <c r="BJ28" i="6"/>
  <c r="AL28" i="6"/>
  <c r="AJ28" i="6"/>
  <c r="BM28" i="6" s="1"/>
  <c r="BO27" i="6"/>
  <c r="BN27" i="6"/>
  <c r="BL27" i="6"/>
  <c r="BJ27" i="6"/>
  <c r="AL27" i="6"/>
  <c r="AJ27" i="6"/>
  <c r="BM27" i="6" s="1"/>
  <c r="BO26" i="6"/>
  <c r="BN26" i="6"/>
  <c r="BL26" i="6"/>
  <c r="BJ26" i="6"/>
  <c r="AL26" i="6"/>
  <c r="AJ26" i="6"/>
  <c r="BM26" i="6" s="1"/>
  <c r="BO25" i="6"/>
  <c r="BN25" i="6"/>
  <c r="BL25" i="6"/>
  <c r="BJ25" i="6"/>
  <c r="AL25" i="6"/>
  <c r="AJ25" i="6"/>
  <c r="BM25" i="6" s="1"/>
  <c r="BO24" i="6"/>
  <c r="BN24" i="6"/>
  <c r="BL24" i="6"/>
  <c r="BJ24" i="6"/>
  <c r="AL24" i="6"/>
  <c r="AJ24" i="6"/>
  <c r="BM24" i="6" s="1"/>
  <c r="BO23" i="6"/>
  <c r="BN23" i="6"/>
  <c r="BL23" i="6"/>
  <c r="BJ23" i="6"/>
  <c r="AL23" i="6"/>
  <c r="AJ23" i="6"/>
  <c r="BM23" i="6" s="1"/>
  <c r="BO22" i="6"/>
  <c r="BN22" i="6"/>
  <c r="BL22" i="6"/>
  <c r="BJ22" i="6"/>
  <c r="AL22" i="6"/>
  <c r="AJ22" i="6"/>
  <c r="BM22" i="6" s="1"/>
  <c r="BO21" i="6"/>
  <c r="BN21" i="6"/>
  <c r="BL21" i="6"/>
  <c r="BJ21" i="6"/>
  <c r="AL21" i="6"/>
  <c r="AJ21" i="6"/>
  <c r="BM21" i="6" s="1"/>
  <c r="BO20" i="6"/>
  <c r="BN20" i="6"/>
  <c r="BL20" i="6"/>
  <c r="BJ20" i="6"/>
  <c r="AL20" i="6"/>
  <c r="AJ20" i="6"/>
  <c r="BM20" i="6" s="1"/>
  <c r="BO19" i="6"/>
  <c r="BN19" i="6"/>
  <c r="BL19" i="6"/>
  <c r="BJ19" i="6"/>
  <c r="AL19" i="6"/>
  <c r="AJ19" i="6"/>
  <c r="BM19" i="6" s="1"/>
  <c r="BO18" i="6"/>
  <c r="BN18" i="6"/>
  <c r="BL18" i="6"/>
  <c r="BJ18" i="6"/>
  <c r="AL18" i="6"/>
  <c r="AJ18" i="6"/>
  <c r="BM18" i="6" s="1"/>
  <c r="BO17" i="6"/>
  <c r="BN17" i="6"/>
  <c r="BL17" i="6"/>
  <c r="BJ17" i="6"/>
  <c r="AL17" i="6"/>
  <c r="AJ17" i="6"/>
  <c r="BM17" i="6" s="1"/>
  <c r="BO16" i="6"/>
  <c r="BN16" i="6"/>
  <c r="BL16" i="6"/>
  <c r="BJ16" i="6"/>
  <c r="AL16" i="6"/>
  <c r="AJ16" i="6"/>
  <c r="BM16" i="6" s="1"/>
  <c r="BO15" i="6"/>
  <c r="BN15" i="6"/>
  <c r="BL15" i="6"/>
  <c r="BJ15" i="6"/>
  <c r="AL15" i="6"/>
  <c r="AJ15" i="6"/>
  <c r="BM15" i="6" s="1"/>
  <c r="BO14" i="6"/>
  <c r="BN14" i="6"/>
  <c r="BL14" i="6"/>
  <c r="BJ14" i="6"/>
  <c r="AL14" i="6"/>
  <c r="AJ14" i="6"/>
  <c r="BM14" i="6" s="1"/>
  <c r="BO13" i="6"/>
  <c r="BN13" i="6"/>
  <c r="BL13" i="6"/>
  <c r="BJ13" i="6"/>
  <c r="AL13" i="6"/>
  <c r="AJ13" i="6"/>
  <c r="BM13" i="6" s="1"/>
  <c r="BO12" i="6"/>
  <c r="BN12" i="6"/>
  <c r="BL12" i="6"/>
  <c r="BJ12" i="6"/>
  <c r="AL12" i="6"/>
  <c r="AJ12" i="6"/>
  <c r="BM12" i="6" s="1"/>
  <c r="BO11" i="6"/>
  <c r="BN11" i="6"/>
  <c r="BL11" i="6"/>
  <c r="BJ11" i="6"/>
  <c r="AL11" i="6"/>
  <c r="AJ11" i="6"/>
  <c r="BM11" i="6" s="1"/>
  <c r="BO10" i="6"/>
  <c r="BN10" i="6"/>
  <c r="BL10" i="6"/>
  <c r="BJ10" i="6"/>
  <c r="AL10" i="6"/>
  <c r="AJ10" i="6"/>
  <c r="BM10" i="6" s="1"/>
  <c r="BO9" i="6"/>
  <c r="BN9" i="6"/>
  <c r="BL9" i="6"/>
  <c r="BJ9" i="6"/>
  <c r="AL9" i="6"/>
  <c r="AJ9" i="6"/>
  <c r="BM9" i="6" s="1"/>
  <c r="BO8" i="6"/>
  <c r="BN8" i="6"/>
  <c r="BL8" i="6"/>
  <c r="BJ8" i="6"/>
  <c r="AL8" i="6"/>
  <c r="AJ8" i="6"/>
  <c r="BM8" i="6" s="1"/>
  <c r="BO7" i="6"/>
  <c r="BN7" i="6"/>
  <c r="BL7" i="6"/>
  <c r="BJ7" i="6"/>
  <c r="AL7" i="6"/>
  <c r="AJ7" i="6"/>
  <c r="BM7" i="6" s="1"/>
  <c r="BO6" i="6"/>
  <c r="BN6" i="6"/>
  <c r="BL6" i="6"/>
  <c r="BJ6" i="6"/>
  <c r="AL6" i="6"/>
  <c r="AJ6" i="6"/>
  <c r="BM6" i="6" s="1"/>
  <c r="BO5" i="6"/>
  <c r="BN5" i="6"/>
  <c r="BL5" i="6"/>
  <c r="BJ5" i="6"/>
  <c r="AL5" i="6"/>
  <c r="AJ5" i="6"/>
  <c r="BM5" i="6" s="1"/>
  <c r="BO4" i="6"/>
  <c r="BN4" i="6"/>
  <c r="BL4" i="6"/>
  <c r="BJ4" i="6"/>
  <c r="AL4" i="6"/>
  <c r="AJ4" i="6"/>
  <c r="BM4" i="6" s="1"/>
  <c r="BR22" i="6" l="1"/>
  <c r="BR72" i="6"/>
  <c r="BP63" i="6"/>
  <c r="BP69" i="6"/>
  <c r="BP93" i="6"/>
  <c r="BR4" i="6"/>
  <c r="BR24" i="6"/>
  <c r="BP65" i="6"/>
  <c r="BP67" i="6"/>
  <c r="BP71" i="6"/>
  <c r="BR12" i="6"/>
  <c r="BR26" i="6"/>
  <c r="BR16" i="6"/>
  <c r="BR6" i="6"/>
  <c r="BR18" i="6"/>
  <c r="BR23" i="6"/>
  <c r="BR39" i="6"/>
  <c r="BR41" i="6"/>
  <c r="BR43" i="6"/>
  <c r="BR45" i="6"/>
  <c r="BR47" i="6"/>
  <c r="BR55" i="6"/>
  <c r="BR74" i="6"/>
  <c r="BR29" i="6"/>
  <c r="BP12" i="6"/>
  <c r="BP114" i="6"/>
  <c r="BP118" i="6"/>
  <c r="BR54" i="6"/>
  <c r="BS112" i="6"/>
  <c r="BS116" i="6"/>
  <c r="BT34" i="6"/>
  <c r="BT36" i="6"/>
  <c r="BT50" i="6"/>
  <c r="BT52" i="6"/>
  <c r="BT56" i="6"/>
  <c r="BT58" i="6"/>
  <c r="BT31" i="6"/>
  <c r="BT61" i="6"/>
  <c r="BR5" i="6"/>
  <c r="BR56" i="6"/>
  <c r="BP20" i="6"/>
  <c r="BP22" i="6"/>
  <c r="BP28" i="6"/>
  <c r="BP32" i="6"/>
  <c r="BP46" i="6"/>
  <c r="BP48" i="6"/>
  <c r="BP50" i="6"/>
  <c r="BP15" i="6"/>
  <c r="BP17" i="6"/>
  <c r="BP24" i="6"/>
  <c r="BT25" i="6"/>
  <c r="BP26" i="6"/>
  <c r="BP29" i="6"/>
  <c r="BT41" i="6"/>
  <c r="BT43" i="6"/>
  <c r="BP82" i="6"/>
  <c r="BP86" i="6"/>
  <c r="BP122" i="6"/>
  <c r="BR15" i="6"/>
  <c r="BR13" i="6"/>
  <c r="BP5" i="6"/>
  <c r="BT15" i="6"/>
  <c r="BT17" i="6"/>
  <c r="BP23" i="6"/>
  <c r="BP25" i="6"/>
  <c r="BT29" i="6"/>
  <c r="BS30" i="6"/>
  <c r="BP41" i="6"/>
  <c r="BP43" i="6"/>
  <c r="BR48" i="6"/>
  <c r="BP54" i="6"/>
  <c r="BP58" i="6"/>
  <c r="BS82" i="6"/>
  <c r="BP87" i="6"/>
  <c r="BP102" i="6"/>
  <c r="BP119" i="6"/>
  <c r="BP121" i="6"/>
  <c r="BP18" i="6"/>
  <c r="BP21" i="6"/>
  <c r="BP38" i="6"/>
  <c r="BP40" i="6"/>
  <c r="BP42" i="6"/>
  <c r="BP68" i="6"/>
  <c r="BP72" i="6"/>
  <c r="BP79" i="6"/>
  <c r="BP83" i="6"/>
  <c r="BP109" i="6"/>
  <c r="BP16" i="6"/>
  <c r="BP4" i="6"/>
  <c r="BT5" i="6"/>
  <c r="BP6" i="6"/>
  <c r="BP44" i="6"/>
  <c r="BT54" i="6"/>
  <c r="BR68" i="6"/>
  <c r="BR70" i="6"/>
  <c r="BS92" i="6"/>
  <c r="BP14" i="6"/>
  <c r="BT21" i="6"/>
  <c r="BP30" i="6"/>
  <c r="BT40" i="6"/>
  <c r="BT68" i="6"/>
  <c r="BT70" i="6"/>
  <c r="BT72" i="6"/>
  <c r="BP9" i="6"/>
  <c r="BP11" i="6"/>
  <c r="BT13" i="6"/>
  <c r="BP27" i="6"/>
  <c r="BT33" i="6"/>
  <c r="BP34" i="6"/>
  <c r="BT35" i="6"/>
  <c r="BP36" i="6"/>
  <c r="BT44" i="6"/>
  <c r="BT47" i="6"/>
  <c r="BT48" i="6"/>
  <c r="BR49" i="6"/>
  <c r="BR50" i="6"/>
  <c r="BP52" i="6"/>
  <c r="BR57" i="6"/>
  <c r="BR58" i="6"/>
  <c r="BP60" i="6"/>
  <c r="BS61" i="6"/>
  <c r="BP62" i="6"/>
  <c r="BS73" i="6"/>
  <c r="BP74" i="6"/>
  <c r="BP94" i="6"/>
  <c r="BP103" i="6"/>
  <c r="BP110" i="6"/>
  <c r="BR10" i="6"/>
  <c r="BR31" i="6"/>
  <c r="BR34" i="6"/>
  <c r="BR35" i="6"/>
  <c r="BR36" i="6"/>
  <c r="BR37" i="6"/>
  <c r="BR52" i="6"/>
  <c r="BR60" i="6"/>
  <c r="BR62" i="6"/>
  <c r="BR63" i="6"/>
  <c r="BR64" i="6"/>
  <c r="BR65" i="6"/>
  <c r="BP10" i="6"/>
  <c r="BP13" i="6"/>
  <c r="BR14" i="6"/>
  <c r="BR20" i="6"/>
  <c r="BR21" i="6"/>
  <c r="BR28" i="6"/>
  <c r="BP33" i="6"/>
  <c r="BS34" i="6"/>
  <c r="BP35" i="6"/>
  <c r="BS36" i="6"/>
  <c r="BR42" i="6"/>
  <c r="BP47" i="6"/>
  <c r="BP56" i="6"/>
  <c r="BP61" i="6"/>
  <c r="BT62" i="6"/>
  <c r="BP64" i="6"/>
  <c r="BS65" i="6"/>
  <c r="BR66" i="6"/>
  <c r="BT74" i="6"/>
  <c r="BP90" i="6"/>
  <c r="BP95" i="6"/>
  <c r="BS96" i="6"/>
  <c r="BS100" i="6"/>
  <c r="BP106" i="6"/>
  <c r="BP111" i="6"/>
  <c r="BP7" i="6"/>
  <c r="BR51" i="6"/>
  <c r="BR59" i="6"/>
  <c r="BR76" i="6"/>
  <c r="BP98" i="6"/>
  <c r="BR7" i="6"/>
  <c r="BR8" i="6"/>
  <c r="BR53" i="6"/>
  <c r="BT7" i="6"/>
  <c r="BP8" i="6"/>
  <c r="BT9" i="6"/>
  <c r="BP19" i="6"/>
  <c r="BT23" i="6"/>
  <c r="BP37" i="6"/>
  <c r="BT39" i="6"/>
  <c r="BT42" i="6"/>
  <c r="BP45" i="6"/>
  <c r="BT49" i="6"/>
  <c r="BT51" i="6"/>
  <c r="BT53" i="6"/>
  <c r="BT55" i="6"/>
  <c r="BT57" i="6"/>
  <c r="BT59" i="6"/>
  <c r="BP66" i="6"/>
  <c r="BR71" i="6"/>
  <c r="BP78" i="6"/>
  <c r="BP91" i="6"/>
  <c r="BP97" i="6"/>
  <c r="BP107" i="6"/>
  <c r="BS108" i="6"/>
  <c r="BP113" i="6"/>
  <c r="BR27" i="6"/>
  <c r="BR46" i="6"/>
  <c r="BS75" i="6"/>
  <c r="BS88" i="6"/>
  <c r="BS104" i="6"/>
  <c r="BS120" i="6"/>
  <c r="BR11" i="6"/>
  <c r="BR19" i="6"/>
  <c r="BR9" i="6"/>
  <c r="BT11" i="6"/>
  <c r="BR17" i="6"/>
  <c r="BT19" i="6"/>
  <c r="BR25" i="6"/>
  <c r="BT27" i="6"/>
  <c r="BR30" i="6"/>
  <c r="BP31" i="6"/>
  <c r="BS32" i="6"/>
  <c r="BR33" i="6"/>
  <c r="BT37" i="6"/>
  <c r="BT38" i="6"/>
  <c r="BP39" i="6"/>
  <c r="BR40" i="6"/>
  <c r="BR44" i="6"/>
  <c r="BT45" i="6"/>
  <c r="BT46" i="6"/>
  <c r="BP49" i="6"/>
  <c r="BP51" i="6"/>
  <c r="BP53" i="6"/>
  <c r="BP55" i="6"/>
  <c r="BP57" i="6"/>
  <c r="BP59" i="6"/>
  <c r="BT64" i="6"/>
  <c r="BT66" i="6"/>
  <c r="BT69" i="6"/>
  <c r="BP70" i="6"/>
  <c r="BP76" i="6"/>
  <c r="BS78" i="6"/>
  <c r="BS81" i="6"/>
  <c r="BP89" i="6"/>
  <c r="BP105" i="6"/>
  <c r="BP115" i="6"/>
  <c r="BS13" i="6"/>
  <c r="BS19" i="6"/>
  <c r="BS21" i="6"/>
  <c r="BT71" i="6"/>
  <c r="BS7" i="6"/>
  <c r="BS9" i="6"/>
  <c r="BS15" i="6"/>
  <c r="BS17" i="6"/>
  <c r="BS25" i="6"/>
  <c r="BS27" i="6"/>
  <c r="BS38" i="6"/>
  <c r="BS74" i="6"/>
  <c r="BS11" i="6"/>
  <c r="BS23" i="6"/>
  <c r="BT63" i="6"/>
  <c r="BT4" i="6"/>
  <c r="BT8" i="6"/>
  <c r="BT10" i="6"/>
  <c r="BT12" i="6"/>
  <c r="BT14" i="6"/>
  <c r="BT16" i="6"/>
  <c r="BT18" i="6"/>
  <c r="BT20" i="6"/>
  <c r="BT22" i="6"/>
  <c r="BT24" i="6"/>
  <c r="BT26" i="6"/>
  <c r="BT28" i="6"/>
  <c r="BS40" i="6"/>
  <c r="BT87" i="6"/>
  <c r="BT89" i="6"/>
  <c r="BT91" i="6"/>
  <c r="BT93" i="6"/>
  <c r="BT95" i="6"/>
  <c r="BT97" i="6"/>
  <c r="BT99" i="6"/>
  <c r="BT101" i="6"/>
  <c r="BT103" i="6"/>
  <c r="BT105" i="6"/>
  <c r="BT107" i="6"/>
  <c r="BT109" i="6"/>
  <c r="BT111" i="6"/>
  <c r="BT113" i="6"/>
  <c r="BT115" i="6"/>
  <c r="BT117" i="6"/>
  <c r="BT119" i="6"/>
  <c r="BT121" i="6"/>
  <c r="BS5" i="6"/>
  <c r="BS6" i="6"/>
  <c r="BT32" i="6"/>
  <c r="BS67" i="6"/>
  <c r="BR67" i="6"/>
  <c r="BS4" i="6"/>
  <c r="BS8" i="6"/>
  <c r="BS10" i="6"/>
  <c r="BS12" i="6"/>
  <c r="BS14" i="6"/>
  <c r="BS16" i="6"/>
  <c r="BS18" i="6"/>
  <c r="BS20" i="6"/>
  <c r="BS22" i="6"/>
  <c r="BS24" i="6"/>
  <c r="BS26" i="6"/>
  <c r="BS28" i="6"/>
  <c r="BS29" i="6"/>
  <c r="BT30" i="6"/>
  <c r="BS37" i="6"/>
  <c r="BS41" i="6"/>
  <c r="BT67" i="6"/>
  <c r="BS31" i="6"/>
  <c r="BR84" i="6"/>
  <c r="BT84" i="6"/>
  <c r="BS84" i="6"/>
  <c r="BT6" i="6"/>
  <c r="BR32" i="6"/>
  <c r="BS35" i="6"/>
  <c r="BS39" i="6"/>
  <c r="BT65" i="6"/>
  <c r="BS66" i="6"/>
  <c r="BS33" i="6"/>
  <c r="BR38" i="6"/>
  <c r="BS42" i="6"/>
  <c r="BS43" i="6"/>
  <c r="BS44" i="6"/>
  <c r="BS45" i="6"/>
  <c r="BS46" i="6"/>
  <c r="BS47" i="6"/>
  <c r="BS48" i="6"/>
  <c r="BS49" i="6"/>
  <c r="BS50" i="6"/>
  <c r="BS51" i="6"/>
  <c r="BS52" i="6"/>
  <c r="BS53" i="6"/>
  <c r="BS54" i="6"/>
  <c r="BS55" i="6"/>
  <c r="BS56" i="6"/>
  <c r="BS57" i="6"/>
  <c r="BS58" i="6"/>
  <c r="BS59" i="6"/>
  <c r="BR61" i="6"/>
  <c r="BS63" i="6"/>
  <c r="BS64" i="6"/>
  <c r="BR69" i="6"/>
  <c r="BS71" i="6"/>
  <c r="BS72" i="6"/>
  <c r="BR75" i="6"/>
  <c r="BT75" i="6"/>
  <c r="BP75" i="6"/>
  <c r="BS62" i="6"/>
  <c r="BS70" i="6"/>
  <c r="BS60" i="6"/>
  <c r="BT60" i="6"/>
  <c r="BS68" i="6"/>
  <c r="BR73" i="6"/>
  <c r="BT73" i="6"/>
  <c r="BP73" i="6"/>
  <c r="BR80" i="6"/>
  <c r="BT80" i="6"/>
  <c r="BS80" i="6"/>
  <c r="BT79" i="6"/>
  <c r="BR79" i="6"/>
  <c r="BT83" i="6"/>
  <c r="BR83" i="6"/>
  <c r="BR86" i="6"/>
  <c r="BT86" i="6"/>
  <c r="BR90" i="6"/>
  <c r="BT90" i="6"/>
  <c r="BR94" i="6"/>
  <c r="BT94" i="6"/>
  <c r="BR98" i="6"/>
  <c r="BT98" i="6"/>
  <c r="BR102" i="6"/>
  <c r="BT102" i="6"/>
  <c r="BR106" i="6"/>
  <c r="BT106" i="6"/>
  <c r="BR110" i="6"/>
  <c r="BT110" i="6"/>
  <c r="BR114" i="6"/>
  <c r="BT114" i="6"/>
  <c r="BR118" i="6"/>
  <c r="BT118" i="6"/>
  <c r="BR122" i="6"/>
  <c r="BT122" i="6"/>
  <c r="BT76" i="6"/>
  <c r="BS76" i="6"/>
  <c r="BR78" i="6"/>
  <c r="BT78" i="6"/>
  <c r="BP81" i="6"/>
  <c r="BR82" i="6"/>
  <c r="BT82" i="6"/>
  <c r="BP85" i="6"/>
  <c r="BS86" i="6"/>
  <c r="BP88" i="6"/>
  <c r="BS90" i="6"/>
  <c r="BP92" i="6"/>
  <c r="BS94" i="6"/>
  <c r="BP96" i="6"/>
  <c r="BS98" i="6"/>
  <c r="BP100" i="6"/>
  <c r="BS102" i="6"/>
  <c r="BP104" i="6"/>
  <c r="BS106" i="6"/>
  <c r="BP108" i="6"/>
  <c r="BS110" i="6"/>
  <c r="BP112" i="6"/>
  <c r="BS114" i="6"/>
  <c r="BP116" i="6"/>
  <c r="BS118" i="6"/>
  <c r="BP120" i="6"/>
  <c r="BS122" i="6"/>
  <c r="BT77" i="6"/>
  <c r="BP77" i="6"/>
  <c r="BR77" i="6"/>
  <c r="BS79" i="6"/>
  <c r="BP80" i="6"/>
  <c r="BT81" i="6"/>
  <c r="BR81" i="6"/>
  <c r="BS83" i="6"/>
  <c r="BP84" i="6"/>
  <c r="BT85" i="6"/>
  <c r="BS85" i="6"/>
  <c r="BR85" i="6"/>
  <c r="BR88" i="6"/>
  <c r="BT88" i="6"/>
  <c r="BR92" i="6"/>
  <c r="BT92" i="6"/>
  <c r="BR96" i="6"/>
  <c r="BT96" i="6"/>
  <c r="BR100" i="6"/>
  <c r="BT100" i="6"/>
  <c r="BR104" i="6"/>
  <c r="BT104" i="6"/>
  <c r="BR108" i="6"/>
  <c r="BT108" i="6"/>
  <c r="BR112" i="6"/>
  <c r="BT112" i="6"/>
  <c r="BR116" i="6"/>
  <c r="BT116" i="6"/>
  <c r="BR120" i="6"/>
  <c r="BT120" i="6"/>
  <c r="BR87" i="6"/>
  <c r="BR89" i="6"/>
  <c r="BR91" i="6"/>
  <c r="BR93" i="6"/>
  <c r="BR95" i="6"/>
  <c r="BR97" i="6"/>
  <c r="BR99" i="6"/>
  <c r="BR101" i="6"/>
  <c r="BR103" i="6"/>
  <c r="BR105" i="6"/>
  <c r="BR107" i="6"/>
  <c r="BR109" i="6"/>
  <c r="BR111" i="6"/>
  <c r="BR113" i="6"/>
  <c r="BR115" i="6"/>
  <c r="BR117" i="6"/>
  <c r="BR119" i="6"/>
  <c r="BR121" i="6"/>
  <c r="BS87" i="6"/>
  <c r="BS89" i="6"/>
  <c r="BS91" i="6"/>
  <c r="BS93" i="6"/>
  <c r="BS95" i="6"/>
  <c r="BS97" i="6"/>
  <c r="BS99" i="6"/>
  <c r="BS101" i="6"/>
  <c r="BS103" i="6"/>
  <c r="BS105" i="6"/>
  <c r="BS107" i="6"/>
  <c r="BS109" i="6"/>
  <c r="BS111" i="6"/>
  <c r="BS113" i="6"/>
  <c r="BS115" i="6"/>
  <c r="BS117" i="6"/>
  <c r="BS119" i="6"/>
  <c r="BS121" i="6"/>
  <c r="BP99" i="6"/>
  <c r="BP101" i="6"/>
  <c r="BP117" i="6"/>
  <c r="J17" i="5"/>
  <c r="J18" i="5"/>
  <c r="J19" i="5"/>
  <c r="I17" i="5"/>
  <c r="I18" i="5"/>
  <c r="I19" i="5"/>
  <c r="J21" i="5" l="1"/>
  <c r="J20" i="5"/>
  <c r="AK121" i="4"/>
  <c r="AK120" i="4"/>
  <c r="AK119" i="4"/>
  <c r="AK118" i="4"/>
  <c r="AK117" i="4"/>
  <c r="AK116" i="4"/>
  <c r="BN116" i="4" s="1"/>
  <c r="AK115" i="4"/>
  <c r="AK114" i="4"/>
  <c r="AK113" i="4"/>
  <c r="AK112" i="4"/>
  <c r="AK111" i="4"/>
  <c r="BN111" i="4" s="1"/>
  <c r="AK110" i="4"/>
  <c r="AK109" i="4"/>
  <c r="AK108" i="4"/>
  <c r="AK107" i="4"/>
  <c r="AK106" i="4"/>
  <c r="BN106" i="4" s="1"/>
  <c r="AK105" i="4"/>
  <c r="AK104" i="4"/>
  <c r="AK103" i="4"/>
  <c r="AK102" i="4"/>
  <c r="AK101" i="4"/>
  <c r="AK100" i="4"/>
  <c r="AK99" i="4"/>
  <c r="AK98" i="4"/>
  <c r="AK97" i="4"/>
  <c r="AK96" i="4"/>
  <c r="AK95" i="4"/>
  <c r="AK94" i="4"/>
  <c r="AK93" i="4"/>
  <c r="AK92" i="4"/>
  <c r="AK91" i="4"/>
  <c r="AK90" i="4"/>
  <c r="AK89" i="4"/>
  <c r="AK88" i="4"/>
  <c r="AK87" i="4"/>
  <c r="AK86" i="4"/>
  <c r="AK85" i="4"/>
  <c r="AK84" i="4"/>
  <c r="AK83" i="4"/>
  <c r="AK82" i="4"/>
  <c r="AK81" i="4"/>
  <c r="AK80" i="4"/>
  <c r="AK79" i="4"/>
  <c r="AK78" i="4"/>
  <c r="AK77" i="4"/>
  <c r="AK76" i="4"/>
  <c r="AK75" i="4"/>
  <c r="AK74" i="4"/>
  <c r="AK73" i="4"/>
  <c r="AK72" i="4"/>
  <c r="AK71" i="4"/>
  <c r="AK70" i="4"/>
  <c r="BN70" i="4" s="1"/>
  <c r="AK69" i="4"/>
  <c r="AK68" i="4"/>
  <c r="AK67" i="4"/>
  <c r="AK66" i="4"/>
  <c r="AK65" i="4"/>
  <c r="AK64" i="4"/>
  <c r="AK63" i="4"/>
  <c r="AK62" i="4"/>
  <c r="AK61" i="4"/>
  <c r="AK60" i="4"/>
  <c r="AK59" i="4"/>
  <c r="AK58" i="4"/>
  <c r="AK57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BP3" i="4"/>
  <c r="BU3" i="4" s="1"/>
  <c r="BM3" i="4"/>
  <c r="BQ3" i="4" l="1"/>
  <c r="BS3" i="4"/>
  <c r="D74" i="2" l="1"/>
  <c r="D75" i="2"/>
  <c r="D76" i="2"/>
  <c r="D77" i="2"/>
  <c r="D78" i="2"/>
  <c r="D79" i="2"/>
  <c r="D80" i="2"/>
  <c r="D81" i="2"/>
  <c r="D82" i="2"/>
  <c r="D83" i="2"/>
  <c r="C60" i="2"/>
  <c r="B59" i="2"/>
  <c r="BN16" i="1"/>
  <c r="BN17" i="1"/>
  <c r="BN18" i="1"/>
  <c r="BN19" i="1"/>
  <c r="BN20" i="1"/>
  <c r="BN21" i="1"/>
  <c r="BN22" i="1"/>
  <c r="BN23" i="1"/>
  <c r="BN24" i="1"/>
  <c r="BN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L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O2" i="1"/>
  <c r="BP2" i="1" s="1"/>
  <c r="BO3" i="1"/>
  <c r="BO4" i="1"/>
  <c r="BP4" i="1" s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J3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P21" i="1" s="1"/>
  <c r="BJ22" i="1"/>
  <c r="BJ23" i="1"/>
  <c r="BJ24" i="1"/>
  <c r="F36" i="2"/>
  <c r="F37" i="2"/>
  <c r="F38" i="2"/>
  <c r="F39" i="2"/>
  <c r="F35" i="2"/>
  <c r="F20" i="2"/>
  <c r="F21" i="2"/>
  <c r="F22" i="2"/>
  <c r="F23" i="2"/>
  <c r="F19" i="2"/>
  <c r="B58" i="2"/>
  <c r="B57" i="2"/>
  <c r="B56" i="2"/>
  <c r="B55" i="2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39" i="3"/>
  <c r="C39" i="3"/>
  <c r="D39" i="3"/>
  <c r="B40" i="3"/>
  <c r="C40" i="3"/>
  <c r="D40" i="3"/>
  <c r="C38" i="3"/>
  <c r="D38" i="3"/>
  <c r="B38" i="3"/>
  <c r="BP11" i="1" l="1"/>
  <c r="BP22" i="1"/>
  <c r="BP17" i="1"/>
  <c r="BP6" i="1"/>
  <c r="BP23" i="1"/>
  <c r="BP20" i="1"/>
  <c r="BP5" i="1"/>
  <c r="D37" i="2"/>
  <c r="C38" i="2" s="1"/>
  <c r="D38" i="2"/>
  <c r="C39" i="2" s="1"/>
  <c r="D36" i="2"/>
  <c r="C37" i="2" s="1"/>
  <c r="D35" i="2"/>
  <c r="E35" i="2" s="1"/>
  <c r="D39" i="2"/>
  <c r="D42" i="3"/>
  <c r="BP19" i="1"/>
  <c r="BP16" i="1"/>
  <c r="BP14" i="1"/>
  <c r="BP12" i="1"/>
  <c r="BP10" i="1"/>
  <c r="BP8" i="1"/>
  <c r="BP24" i="1"/>
  <c r="BP18" i="1"/>
  <c r="BP15" i="1"/>
  <c r="BP13" i="1"/>
  <c r="BP9" i="1"/>
  <c r="BP7" i="1"/>
  <c r="BP3" i="1"/>
  <c r="BT19" i="1"/>
  <c r="BR19" i="1"/>
  <c r="BT16" i="1"/>
  <c r="BR16" i="1"/>
  <c r="BT14" i="1"/>
  <c r="BR14" i="1"/>
  <c r="BT12" i="1"/>
  <c r="BR12" i="1"/>
  <c r="BT10" i="1"/>
  <c r="BR10" i="1"/>
  <c r="BT8" i="1"/>
  <c r="BR8" i="1"/>
  <c r="BT4" i="1"/>
  <c r="BR4" i="1"/>
  <c r="BT24" i="1"/>
  <c r="BR24" i="1"/>
  <c r="BT18" i="1"/>
  <c r="BR18" i="1"/>
  <c r="BT15" i="1"/>
  <c r="BR15" i="1"/>
  <c r="BT13" i="1"/>
  <c r="BR13" i="1"/>
  <c r="BT9" i="1"/>
  <c r="BR9" i="1"/>
  <c r="BT7" i="1"/>
  <c r="BR7" i="1"/>
  <c r="BT3" i="1"/>
  <c r="BR3" i="1"/>
  <c r="BT22" i="1"/>
  <c r="BR22" i="1"/>
  <c r="BT21" i="1"/>
  <c r="BR21" i="1"/>
  <c r="BT11" i="1"/>
  <c r="BR11" i="1"/>
  <c r="BT23" i="1"/>
  <c r="BR23" i="1"/>
  <c r="BT20" i="1"/>
  <c r="BR20" i="1"/>
  <c r="BT17" i="1"/>
  <c r="BR17" i="1"/>
  <c r="BT6" i="1"/>
  <c r="BR6" i="1"/>
  <c r="BT5" i="1"/>
  <c r="BR5" i="1"/>
  <c r="BT2" i="1"/>
  <c r="BR2" i="1"/>
  <c r="C22" i="2"/>
  <c r="C21" i="2"/>
  <c r="BN38" i="4" l="1"/>
  <c r="BN42" i="4"/>
  <c r="BN46" i="4"/>
  <c r="BN50" i="4"/>
  <c r="BN75" i="4"/>
  <c r="BN79" i="4"/>
  <c r="BT79" i="4" s="1"/>
  <c r="BN103" i="4"/>
  <c r="BN40" i="4"/>
  <c r="BN44" i="4"/>
  <c r="BN60" i="4"/>
  <c r="BN118" i="4"/>
  <c r="BT118" i="4" s="1"/>
  <c r="BN45" i="4"/>
  <c r="BT45" i="4" s="1"/>
  <c r="BN78" i="4"/>
  <c r="BT78" i="4" s="1"/>
  <c r="BN90" i="4"/>
  <c r="BT90" i="4" s="1"/>
  <c r="BN102" i="4"/>
  <c r="BN35" i="4"/>
  <c r="BT35" i="4" s="1"/>
  <c r="BN43" i="4"/>
  <c r="BN47" i="4"/>
  <c r="BT47" i="4" s="1"/>
  <c r="BN63" i="4"/>
  <c r="BN67" i="4"/>
  <c r="BN88" i="4"/>
  <c r="BN48" i="4"/>
  <c r="BT48" i="4" s="1"/>
  <c r="BN89" i="4"/>
  <c r="BN114" i="4"/>
  <c r="BN37" i="4"/>
  <c r="BT37" i="4" s="1"/>
  <c r="BN107" i="4"/>
  <c r="BT107" i="4" s="1"/>
  <c r="BN119" i="4"/>
  <c r="BN41" i="4"/>
  <c r="BN49" i="4"/>
  <c r="BN98" i="4"/>
  <c r="BT98" i="4" s="1"/>
  <c r="BN20" i="4"/>
  <c r="BT20" i="4" s="1"/>
  <c r="BN15" i="4"/>
  <c r="BT15" i="4" s="1"/>
  <c r="BN13" i="4"/>
  <c r="BT13" i="4" s="1"/>
  <c r="BN17" i="4"/>
  <c r="BT17" i="4" s="1"/>
  <c r="BN26" i="4"/>
  <c r="BT26" i="4" s="1"/>
  <c r="BN23" i="4"/>
  <c r="BT23" i="4" s="1"/>
  <c r="BN19" i="4"/>
  <c r="BT19" i="4" s="1"/>
  <c r="BN25" i="4"/>
  <c r="BT25" i="4" s="1"/>
  <c r="BN21" i="4"/>
  <c r="BT21" i="4" s="1"/>
  <c r="BN31" i="4"/>
  <c r="BN12" i="4"/>
  <c r="BT12" i="4" s="1"/>
  <c r="BN30" i="4"/>
  <c r="BT30" i="4" s="1"/>
  <c r="BN27" i="4"/>
  <c r="BT27" i="4" s="1"/>
  <c r="BN16" i="4"/>
  <c r="BT16" i="4" s="1"/>
  <c r="BN32" i="4"/>
  <c r="BT32" i="4" s="1"/>
  <c r="BN33" i="4"/>
  <c r="BN18" i="4"/>
  <c r="BT18" i="4" s="1"/>
  <c r="BN34" i="4"/>
  <c r="BT34" i="4" s="1"/>
  <c r="BN7" i="4"/>
  <c r="BT7" i="4" s="1"/>
  <c r="BN4" i="4"/>
  <c r="BT4" i="4" s="1"/>
  <c r="BN6" i="4"/>
  <c r="BT6" i="4" s="1"/>
  <c r="BN11" i="4"/>
  <c r="BT11" i="4" s="1"/>
  <c r="BT116" i="4"/>
  <c r="C36" i="2"/>
  <c r="BN86" i="4" s="1"/>
  <c r="E39" i="2"/>
  <c r="E36" i="2"/>
  <c r="BM2" i="1"/>
  <c r="BS2" i="1" s="1"/>
  <c r="BM8" i="1"/>
  <c r="BS8" i="1" s="1"/>
  <c r="E38" i="2"/>
  <c r="BM13" i="1"/>
  <c r="BS13" i="1" s="1"/>
  <c r="BM23" i="1"/>
  <c r="BS23" i="1" s="1"/>
  <c r="BM6" i="1"/>
  <c r="BS6" i="1" s="1"/>
  <c r="BM14" i="1"/>
  <c r="BS14" i="1" s="1"/>
  <c r="BM3" i="1"/>
  <c r="BS3" i="1" s="1"/>
  <c r="BM11" i="1"/>
  <c r="BS11" i="1" s="1"/>
  <c r="BM12" i="1"/>
  <c r="BS12" i="1" s="1"/>
  <c r="BM4" i="1"/>
  <c r="BS4" i="1" s="1"/>
  <c r="BM9" i="1"/>
  <c r="BS9" i="1" s="1"/>
  <c r="BM22" i="1"/>
  <c r="BS22" i="1" s="1"/>
  <c r="E37" i="2"/>
  <c r="BM16" i="1"/>
  <c r="BS16" i="1" s="1"/>
  <c r="BM10" i="1"/>
  <c r="BS10" i="1" s="1"/>
  <c r="BM15" i="1"/>
  <c r="BS15" i="1" s="1"/>
  <c r="E21" i="2"/>
  <c r="E22" i="2"/>
  <c r="C23" i="2"/>
  <c r="BL78" i="4" s="1"/>
  <c r="BR78" i="4" s="1"/>
  <c r="E19" i="2"/>
  <c r="C20" i="2"/>
  <c r="E23" i="2"/>
  <c r="E20" i="2"/>
  <c r="BN71" i="4" l="1"/>
  <c r="BN62" i="4"/>
  <c r="BT62" i="4" s="1"/>
  <c r="BN24" i="4"/>
  <c r="BT24" i="4" s="1"/>
  <c r="BN56" i="4"/>
  <c r="BN22" i="4"/>
  <c r="BT22" i="4" s="1"/>
  <c r="BN117" i="4"/>
  <c r="BN101" i="4"/>
  <c r="BM7" i="1"/>
  <c r="BS7" i="1" s="1"/>
  <c r="BM5" i="1"/>
  <c r="BS5" i="1" s="1"/>
  <c r="BU5" i="1" s="1"/>
  <c r="BN80" i="4"/>
  <c r="BT80" i="4" s="1"/>
  <c r="BT42" i="4"/>
  <c r="BM17" i="1"/>
  <c r="BS17" i="1" s="1"/>
  <c r="BN9" i="4"/>
  <c r="BT9" i="4" s="1"/>
  <c r="BN82" i="4"/>
  <c r="BT82" i="4" s="1"/>
  <c r="BN113" i="4"/>
  <c r="BT113" i="4" s="1"/>
  <c r="BN61" i="4"/>
  <c r="BT61" i="4" s="1"/>
  <c r="BN36" i="4"/>
  <c r="BT36" i="4" s="1"/>
  <c r="BN105" i="4"/>
  <c r="BT105" i="4" s="1"/>
  <c r="BN104" i="4"/>
  <c r="BT104" i="4" s="1"/>
  <c r="BN29" i="4"/>
  <c r="BT29" i="4" s="1"/>
  <c r="BN14" i="4"/>
  <c r="BT14" i="4" s="1"/>
  <c r="BN110" i="4"/>
  <c r="BT110" i="4" s="1"/>
  <c r="BN96" i="4"/>
  <c r="BT96" i="4" s="1"/>
  <c r="BN73" i="4"/>
  <c r="BT73" i="4" s="1"/>
  <c r="BN69" i="4"/>
  <c r="BN74" i="4"/>
  <c r="BT74" i="4" s="1"/>
  <c r="BN81" i="4"/>
  <c r="BT81" i="4" s="1"/>
  <c r="BN109" i="4"/>
  <c r="BT109" i="4" s="1"/>
  <c r="BN92" i="4"/>
  <c r="BT92" i="4" s="1"/>
  <c r="BN76" i="4"/>
  <c r="BT76" i="4" s="1"/>
  <c r="BN59" i="4"/>
  <c r="BT59" i="4" s="1"/>
  <c r="BN57" i="4"/>
  <c r="BT57" i="4" s="1"/>
  <c r="BN93" i="4"/>
  <c r="BT93" i="4" s="1"/>
  <c r="BN112" i="4"/>
  <c r="BT112" i="4" s="1"/>
  <c r="BN95" i="4"/>
  <c r="BT95" i="4" s="1"/>
  <c r="BN72" i="4"/>
  <c r="BT72" i="4" s="1"/>
  <c r="BN55" i="4"/>
  <c r="BT55" i="4" s="1"/>
  <c r="BN39" i="4"/>
  <c r="BT39" i="4" s="1"/>
  <c r="BN85" i="4"/>
  <c r="BT85" i="4" s="1"/>
  <c r="BN52" i="4"/>
  <c r="BN108" i="4"/>
  <c r="BT108" i="4" s="1"/>
  <c r="BN91" i="4"/>
  <c r="BT91" i="4" s="1"/>
  <c r="BN58" i="4"/>
  <c r="BT58" i="4" s="1"/>
  <c r="BN5" i="4"/>
  <c r="BT5" i="4" s="1"/>
  <c r="BN28" i="4"/>
  <c r="BT28" i="4" s="1"/>
  <c r="BN10" i="4"/>
  <c r="BN8" i="4"/>
  <c r="BT8" i="4" s="1"/>
  <c r="BN94" i="4"/>
  <c r="BT94" i="4" s="1"/>
  <c r="BN53" i="4"/>
  <c r="BN97" i="4"/>
  <c r="BT97" i="4" s="1"/>
  <c r="BN64" i="4"/>
  <c r="BT64" i="4" s="1"/>
  <c r="BN100" i="4"/>
  <c r="BT100" i="4" s="1"/>
  <c r="BN84" i="4"/>
  <c r="BT84" i="4" s="1"/>
  <c r="BN51" i="4"/>
  <c r="BT51" i="4" s="1"/>
  <c r="BN77" i="4"/>
  <c r="BT77" i="4" s="1"/>
  <c r="BN87" i="4"/>
  <c r="BT87" i="4" s="1"/>
  <c r="BN54" i="4"/>
  <c r="BT54" i="4" s="1"/>
  <c r="BN115" i="4"/>
  <c r="BN65" i="4"/>
  <c r="BT65" i="4" s="1"/>
  <c r="BN68" i="4"/>
  <c r="BT68" i="4" s="1"/>
  <c r="BN99" i="4"/>
  <c r="BN83" i="4"/>
  <c r="BT83" i="4" s="1"/>
  <c r="BN66" i="4"/>
  <c r="BT66" i="4" s="1"/>
  <c r="BN3" i="4"/>
  <c r="BT3" i="4" s="1"/>
  <c r="BK95" i="6"/>
  <c r="BQ95" i="6" s="1"/>
  <c r="BU95" i="6" s="1"/>
  <c r="BK42" i="6"/>
  <c r="BQ42" i="6" s="1"/>
  <c r="BU42" i="6" s="1"/>
  <c r="BK74" i="6"/>
  <c r="BQ74" i="6" s="1"/>
  <c r="BU74" i="6" s="1"/>
  <c r="BL121" i="4"/>
  <c r="BR121" i="4" s="1"/>
  <c r="BK26" i="6"/>
  <c r="BQ26" i="6" s="1"/>
  <c r="BU26" i="6" s="1"/>
  <c r="BL15" i="4"/>
  <c r="BR15" i="4" s="1"/>
  <c r="BV15" i="4" s="1"/>
  <c r="BK9" i="6"/>
  <c r="BQ9" i="6" s="1"/>
  <c r="BU9" i="6" s="1"/>
  <c r="BK75" i="6"/>
  <c r="BQ75" i="6" s="1"/>
  <c r="BU75" i="6" s="1"/>
  <c r="BL103" i="4"/>
  <c r="BR103" i="4" s="1"/>
  <c r="BK94" i="6"/>
  <c r="BQ94" i="6" s="1"/>
  <c r="BU94" i="6" s="1"/>
  <c r="BK79" i="6"/>
  <c r="BQ79" i="6" s="1"/>
  <c r="BU79" i="6" s="1"/>
  <c r="BL84" i="4"/>
  <c r="BR84" i="4" s="1"/>
  <c r="BK96" i="6"/>
  <c r="BQ96" i="6" s="1"/>
  <c r="BU96" i="6" s="1"/>
  <c r="BK16" i="6"/>
  <c r="BQ16" i="6" s="1"/>
  <c r="BU16" i="6" s="1"/>
  <c r="BK78" i="6"/>
  <c r="BQ78" i="6" s="1"/>
  <c r="BU78" i="6" s="1"/>
  <c r="BL102" i="4"/>
  <c r="BR102" i="4" s="1"/>
  <c r="BL80" i="4"/>
  <c r="BR80" i="4" s="1"/>
  <c r="BV80" i="4" s="1"/>
  <c r="BL104" i="4"/>
  <c r="BR104" i="4" s="1"/>
  <c r="BL45" i="4"/>
  <c r="BR45" i="4" s="1"/>
  <c r="BV45" i="4" s="1"/>
  <c r="BL77" i="4"/>
  <c r="BR77" i="4" s="1"/>
  <c r="BL27" i="4"/>
  <c r="BR27" i="4" s="1"/>
  <c r="BV27" i="4" s="1"/>
  <c r="BL8" i="4"/>
  <c r="BR8" i="4" s="1"/>
  <c r="BL83" i="4"/>
  <c r="BR83" i="4" s="1"/>
  <c r="BK52" i="6"/>
  <c r="BQ52" i="6" s="1"/>
  <c r="BU52" i="6" s="1"/>
  <c r="BL101" i="4"/>
  <c r="BR101" i="4" s="1"/>
  <c r="BK84" i="6"/>
  <c r="BQ84" i="6" s="1"/>
  <c r="BU84" i="6" s="1"/>
  <c r="BL20" i="4"/>
  <c r="BR20" i="4" s="1"/>
  <c r="BV20" i="4" s="1"/>
  <c r="BL89" i="4"/>
  <c r="BR89" i="4" s="1"/>
  <c r="BL55" i="4"/>
  <c r="BR55" i="4" s="1"/>
  <c r="BV55" i="4" s="1"/>
  <c r="BK54" i="6"/>
  <c r="BQ54" i="6" s="1"/>
  <c r="BU54" i="6" s="1"/>
  <c r="BL112" i="4"/>
  <c r="BR112" i="4" s="1"/>
  <c r="BV112" i="4" s="1"/>
  <c r="BV78" i="4"/>
  <c r="BK4" i="1"/>
  <c r="BQ4" i="1" s="1"/>
  <c r="BU4" i="1" s="1"/>
  <c r="BK102" i="6"/>
  <c r="BQ102" i="6" s="1"/>
  <c r="BU102" i="6" s="1"/>
  <c r="BL57" i="4"/>
  <c r="BR57" i="4" s="1"/>
  <c r="BK90" i="6"/>
  <c r="BQ90" i="6" s="1"/>
  <c r="BU90" i="6" s="1"/>
  <c r="BL72" i="4"/>
  <c r="BR72" i="4" s="1"/>
  <c r="BL115" i="4"/>
  <c r="BR115" i="4" s="1"/>
  <c r="BL60" i="4"/>
  <c r="BR60" i="4" s="1"/>
  <c r="BL24" i="4"/>
  <c r="BR24" i="4" s="1"/>
  <c r="BV24" i="4" s="1"/>
  <c r="BL4" i="4"/>
  <c r="BR4" i="4" s="1"/>
  <c r="BV4" i="4" s="1"/>
  <c r="BK8" i="1"/>
  <c r="BQ8" i="1" s="1"/>
  <c r="BU8" i="1" s="1"/>
  <c r="BK57" i="6"/>
  <c r="BQ57" i="6" s="1"/>
  <c r="BU57" i="6" s="1"/>
  <c r="BL98" i="4"/>
  <c r="BR98" i="4" s="1"/>
  <c r="BV98" i="4" s="1"/>
  <c r="BL39" i="4"/>
  <c r="BR39" i="4" s="1"/>
  <c r="BL7" i="4"/>
  <c r="BR7" i="4" s="1"/>
  <c r="BV7" i="4" s="1"/>
  <c r="BL51" i="4"/>
  <c r="BR51" i="4" s="1"/>
  <c r="BK68" i="6"/>
  <c r="BQ68" i="6" s="1"/>
  <c r="BU68" i="6" s="1"/>
  <c r="BL23" i="4"/>
  <c r="BR23" i="4" s="1"/>
  <c r="BV23" i="4" s="1"/>
  <c r="BL36" i="4"/>
  <c r="BR36" i="4" s="1"/>
  <c r="BK93" i="6"/>
  <c r="BQ93" i="6" s="1"/>
  <c r="BU93" i="6" s="1"/>
  <c r="BK5" i="1"/>
  <c r="BQ5" i="1" s="1"/>
  <c r="BK48" i="6"/>
  <c r="BQ48" i="6" s="1"/>
  <c r="BU48" i="6" s="1"/>
  <c r="BK8" i="6"/>
  <c r="BQ8" i="6" s="1"/>
  <c r="BU8" i="6" s="1"/>
  <c r="BL95" i="4"/>
  <c r="BR95" i="4" s="1"/>
  <c r="BL12" i="4"/>
  <c r="BR12" i="4" s="1"/>
  <c r="BV12" i="4" s="1"/>
  <c r="BT101" i="4"/>
  <c r="BN121" i="4"/>
  <c r="BT121" i="4" s="1"/>
  <c r="BT102" i="4"/>
  <c r="BL114" i="4"/>
  <c r="BR114" i="4" s="1"/>
  <c r="BL96" i="4"/>
  <c r="BR96" i="4" s="1"/>
  <c r="BL64" i="4"/>
  <c r="BR64" i="4" s="1"/>
  <c r="BL48" i="4"/>
  <c r="BR48" i="4" s="1"/>
  <c r="BV48" i="4" s="1"/>
  <c r="BL31" i="4"/>
  <c r="BR31" i="4" s="1"/>
  <c r="BL93" i="4"/>
  <c r="BR93" i="4" s="1"/>
  <c r="BL86" i="4"/>
  <c r="BR86" i="4" s="1"/>
  <c r="BL38" i="4"/>
  <c r="BR38" i="4" s="1"/>
  <c r="BM19" i="1"/>
  <c r="BS19" i="1" s="1"/>
  <c r="BT103" i="4"/>
  <c r="BV103" i="4" s="1"/>
  <c r="BT75" i="4"/>
  <c r="BT67" i="4"/>
  <c r="BT43" i="4"/>
  <c r="BT10" i="4"/>
  <c r="BT60" i="4"/>
  <c r="BT50" i="4"/>
  <c r="BL110" i="4"/>
  <c r="BR110" i="4" s="1"/>
  <c r="BL92" i="4"/>
  <c r="BR92" i="4" s="1"/>
  <c r="BL94" i="4"/>
  <c r="BR94" i="4" s="1"/>
  <c r="BL108" i="4"/>
  <c r="BR108" i="4" s="1"/>
  <c r="BL70" i="4"/>
  <c r="BR70" i="4" s="1"/>
  <c r="BL62" i="4"/>
  <c r="BR62" i="4" s="1"/>
  <c r="BV62" i="4" s="1"/>
  <c r="BL54" i="4"/>
  <c r="BR54" i="4" s="1"/>
  <c r="BL46" i="4"/>
  <c r="BR46" i="4" s="1"/>
  <c r="BL37" i="4"/>
  <c r="BR37" i="4" s="1"/>
  <c r="BV37" i="4" s="1"/>
  <c r="BL29" i="4"/>
  <c r="BR29" i="4" s="1"/>
  <c r="BL21" i="4"/>
  <c r="BR21" i="4" s="1"/>
  <c r="BV21" i="4" s="1"/>
  <c r="BL13" i="4"/>
  <c r="BR13" i="4" s="1"/>
  <c r="BV13" i="4" s="1"/>
  <c r="BL5" i="4"/>
  <c r="BR5" i="4" s="1"/>
  <c r="BL113" i="4"/>
  <c r="BR113" i="4" s="1"/>
  <c r="BL91" i="4"/>
  <c r="BR91" i="4" s="1"/>
  <c r="BL79" i="4"/>
  <c r="BR79" i="4" s="1"/>
  <c r="BV79" i="4" s="1"/>
  <c r="BL34" i="4"/>
  <c r="BR34" i="4" s="1"/>
  <c r="BV34" i="4" s="1"/>
  <c r="BL26" i="4"/>
  <c r="BR26" i="4" s="1"/>
  <c r="BV26" i="4" s="1"/>
  <c r="BL18" i="4"/>
  <c r="BR18" i="4" s="1"/>
  <c r="BV18" i="4" s="1"/>
  <c r="BL10" i="4"/>
  <c r="BR10" i="4" s="1"/>
  <c r="BL74" i="4"/>
  <c r="BR74" i="4" s="1"/>
  <c r="BL69" i="4"/>
  <c r="BR69" i="4" s="1"/>
  <c r="BL61" i="4"/>
  <c r="BR61" i="4" s="1"/>
  <c r="BL49" i="4"/>
  <c r="BR49" i="4" s="1"/>
  <c r="BT117" i="4"/>
  <c r="BT69" i="4"/>
  <c r="BT53" i="4"/>
  <c r="BT52" i="4"/>
  <c r="BT114" i="4"/>
  <c r="BT56" i="4"/>
  <c r="BL56" i="4"/>
  <c r="BR56" i="4" s="1"/>
  <c r="BL85" i="4"/>
  <c r="BR85" i="4" s="1"/>
  <c r="BL28" i="4"/>
  <c r="BR28" i="4" s="1"/>
  <c r="BL97" i="4"/>
  <c r="BR97" i="4" s="1"/>
  <c r="BL75" i="4"/>
  <c r="BR75" i="4" s="1"/>
  <c r="BL63" i="4"/>
  <c r="BR63" i="4" s="1"/>
  <c r="BL53" i="4"/>
  <c r="BR53" i="4" s="1"/>
  <c r="BN120" i="4"/>
  <c r="BT120" i="4" s="1"/>
  <c r="BT115" i="4"/>
  <c r="BT99" i="4"/>
  <c r="BT119" i="4"/>
  <c r="BT49" i="4"/>
  <c r="BT40" i="4"/>
  <c r="BT46" i="4"/>
  <c r="BT33" i="4"/>
  <c r="BT88" i="4"/>
  <c r="BT44" i="4"/>
  <c r="BL106" i="4"/>
  <c r="BR106" i="4" s="1"/>
  <c r="BL118" i="4"/>
  <c r="BR118" i="4" s="1"/>
  <c r="BV118" i="4" s="1"/>
  <c r="BL120" i="4"/>
  <c r="BR120" i="4" s="1"/>
  <c r="BL100" i="4"/>
  <c r="BR100" i="4" s="1"/>
  <c r="BL68" i="4"/>
  <c r="BR68" i="4" s="1"/>
  <c r="BL52" i="4"/>
  <c r="BR52" i="4" s="1"/>
  <c r="BL44" i="4"/>
  <c r="BR44" i="4" s="1"/>
  <c r="BL35" i="4"/>
  <c r="BR35" i="4" s="1"/>
  <c r="BV35" i="4" s="1"/>
  <c r="BL19" i="4"/>
  <c r="BR19" i="4" s="1"/>
  <c r="BV19" i="4" s="1"/>
  <c r="BL11" i="4"/>
  <c r="BR11" i="4" s="1"/>
  <c r="BV11" i="4" s="1"/>
  <c r="BL119" i="4"/>
  <c r="BR119" i="4" s="1"/>
  <c r="BL109" i="4"/>
  <c r="BR109" i="4" s="1"/>
  <c r="BL99" i="4"/>
  <c r="BR99" i="4" s="1"/>
  <c r="BL73" i="4"/>
  <c r="BR73" i="4" s="1"/>
  <c r="BL32" i="4"/>
  <c r="BR32" i="4" s="1"/>
  <c r="BV32" i="4" s="1"/>
  <c r="BL16" i="4"/>
  <c r="BR16" i="4" s="1"/>
  <c r="BV16" i="4" s="1"/>
  <c r="BL90" i="4"/>
  <c r="BR90" i="4" s="1"/>
  <c r="BV90" i="4" s="1"/>
  <c r="BL82" i="4"/>
  <c r="BR82" i="4" s="1"/>
  <c r="BL111" i="4"/>
  <c r="BR111" i="4" s="1"/>
  <c r="BL81" i="4"/>
  <c r="BR81" i="4" s="1"/>
  <c r="BL67" i="4"/>
  <c r="BR67" i="4" s="1"/>
  <c r="BL59" i="4"/>
  <c r="BR59" i="4" s="1"/>
  <c r="BL47" i="4"/>
  <c r="BR47" i="4" s="1"/>
  <c r="BV47" i="4" s="1"/>
  <c r="BT41" i="4"/>
  <c r="BT111" i="4"/>
  <c r="BT89" i="4"/>
  <c r="BT71" i="4"/>
  <c r="BT63" i="4"/>
  <c r="BT38" i="4"/>
  <c r="BT31" i="4"/>
  <c r="BT106" i="4"/>
  <c r="BT86" i="4"/>
  <c r="BT70" i="4"/>
  <c r="BL41" i="4"/>
  <c r="BR41" i="4" s="1"/>
  <c r="BL116" i="4"/>
  <c r="BR116" i="4" s="1"/>
  <c r="BV116" i="4" s="1"/>
  <c r="BL76" i="4"/>
  <c r="BR76" i="4" s="1"/>
  <c r="BL66" i="4"/>
  <c r="BR66" i="4" s="1"/>
  <c r="BL58" i="4"/>
  <c r="BR58" i="4" s="1"/>
  <c r="BL50" i="4"/>
  <c r="BR50" i="4" s="1"/>
  <c r="BL42" i="4"/>
  <c r="BR42" i="4" s="1"/>
  <c r="BL33" i="4"/>
  <c r="BR33" i="4" s="1"/>
  <c r="BL25" i="4"/>
  <c r="BR25" i="4" s="1"/>
  <c r="BV25" i="4" s="1"/>
  <c r="BL17" i="4"/>
  <c r="BR17" i="4" s="1"/>
  <c r="BV17" i="4" s="1"/>
  <c r="BL9" i="4"/>
  <c r="BR9" i="4" s="1"/>
  <c r="BL117" i="4"/>
  <c r="BR117" i="4" s="1"/>
  <c r="BL107" i="4"/>
  <c r="BR107" i="4" s="1"/>
  <c r="BV107" i="4" s="1"/>
  <c r="BL87" i="4"/>
  <c r="BR87" i="4" s="1"/>
  <c r="BL71" i="4"/>
  <c r="BR71" i="4" s="1"/>
  <c r="BL43" i="4"/>
  <c r="BR43" i="4" s="1"/>
  <c r="BL30" i="4"/>
  <c r="BR30" i="4" s="1"/>
  <c r="BV30" i="4" s="1"/>
  <c r="BL22" i="4"/>
  <c r="BR22" i="4" s="1"/>
  <c r="BV22" i="4" s="1"/>
  <c r="BL14" i="4"/>
  <c r="BR14" i="4" s="1"/>
  <c r="BL6" i="4"/>
  <c r="BR6" i="4" s="1"/>
  <c r="BV6" i="4" s="1"/>
  <c r="BL88" i="4"/>
  <c r="BR88" i="4" s="1"/>
  <c r="BL105" i="4"/>
  <c r="BR105" i="4" s="1"/>
  <c r="BL65" i="4"/>
  <c r="BR65" i="4" s="1"/>
  <c r="BL40" i="4"/>
  <c r="BR40" i="4" s="1"/>
  <c r="BK23" i="6"/>
  <c r="BQ23" i="6" s="1"/>
  <c r="BU23" i="6" s="1"/>
  <c r="BM18" i="1"/>
  <c r="BS18" i="1" s="1"/>
  <c r="BK21" i="1"/>
  <c r="BQ21" i="1" s="1"/>
  <c r="BM21" i="1"/>
  <c r="BS21" i="1" s="1"/>
  <c r="BM20" i="1"/>
  <c r="BS20" i="1" s="1"/>
  <c r="BM24" i="1"/>
  <c r="BS24" i="1" s="1"/>
  <c r="BK73" i="6"/>
  <c r="BQ73" i="6" s="1"/>
  <c r="BU73" i="6" s="1"/>
  <c r="BK25" i="6"/>
  <c r="BQ25" i="6" s="1"/>
  <c r="BU25" i="6" s="1"/>
  <c r="BK69" i="6"/>
  <c r="BQ69" i="6" s="1"/>
  <c r="BU69" i="6" s="1"/>
  <c r="BK111" i="6"/>
  <c r="BQ111" i="6" s="1"/>
  <c r="BU111" i="6" s="1"/>
  <c r="BK4" i="6"/>
  <c r="BQ4" i="6" s="1"/>
  <c r="BU4" i="6" s="1"/>
  <c r="BK98" i="6"/>
  <c r="BQ98" i="6" s="1"/>
  <c r="BU98" i="6" s="1"/>
  <c r="BK17" i="6"/>
  <c r="BQ17" i="6" s="1"/>
  <c r="BU17" i="6" s="1"/>
  <c r="BK6" i="6"/>
  <c r="BQ6" i="6" s="1"/>
  <c r="BU6" i="6" s="1"/>
  <c r="BK109" i="6"/>
  <c r="BQ109" i="6" s="1"/>
  <c r="BU109" i="6" s="1"/>
  <c r="BK35" i="6"/>
  <c r="BQ35" i="6" s="1"/>
  <c r="BU35" i="6" s="1"/>
  <c r="BK20" i="6"/>
  <c r="BQ20" i="6" s="1"/>
  <c r="BU20" i="6" s="1"/>
  <c r="BK27" i="6"/>
  <c r="BQ27" i="6" s="1"/>
  <c r="BU27" i="6" s="1"/>
  <c r="BK80" i="6"/>
  <c r="BQ80" i="6" s="1"/>
  <c r="BU80" i="6" s="1"/>
  <c r="BK36" i="6"/>
  <c r="BQ36" i="6" s="1"/>
  <c r="BU36" i="6" s="1"/>
  <c r="BK110" i="6"/>
  <c r="BQ110" i="6" s="1"/>
  <c r="BU110" i="6" s="1"/>
  <c r="BK67" i="6"/>
  <c r="BQ67" i="6" s="1"/>
  <c r="BU67" i="6" s="1"/>
  <c r="BK112" i="6"/>
  <c r="BQ112" i="6" s="1"/>
  <c r="BU112" i="6" s="1"/>
  <c r="BK45" i="6"/>
  <c r="BQ45" i="6" s="1"/>
  <c r="BU45" i="6" s="1"/>
  <c r="BK108" i="6"/>
  <c r="BQ108" i="6" s="1"/>
  <c r="BU108" i="6" s="1"/>
  <c r="BK49" i="6"/>
  <c r="BQ49" i="6" s="1"/>
  <c r="BU49" i="6" s="1"/>
  <c r="BK19" i="6"/>
  <c r="BQ19" i="6" s="1"/>
  <c r="BU19" i="6" s="1"/>
  <c r="BK71" i="6"/>
  <c r="BQ71" i="6" s="1"/>
  <c r="BU71" i="6" s="1"/>
  <c r="BK34" i="6"/>
  <c r="BQ34" i="6" s="1"/>
  <c r="BU34" i="6" s="1"/>
  <c r="BK29" i="6"/>
  <c r="BQ29" i="6" s="1"/>
  <c r="BU29" i="6" s="1"/>
  <c r="BK82" i="6"/>
  <c r="BQ82" i="6" s="1"/>
  <c r="BU82" i="6" s="1"/>
  <c r="BK116" i="6"/>
  <c r="BQ116" i="6" s="1"/>
  <c r="BU116" i="6" s="1"/>
  <c r="BK44" i="6"/>
  <c r="BQ44" i="6" s="1"/>
  <c r="BU44" i="6" s="1"/>
  <c r="BK61" i="6"/>
  <c r="BQ61" i="6" s="1"/>
  <c r="BU61" i="6" s="1"/>
  <c r="BK107" i="6"/>
  <c r="BQ107" i="6" s="1"/>
  <c r="BU107" i="6" s="1"/>
  <c r="BK30" i="6"/>
  <c r="BQ30" i="6" s="1"/>
  <c r="BU30" i="6" s="1"/>
  <c r="BK76" i="6"/>
  <c r="BQ76" i="6" s="1"/>
  <c r="BU76" i="6" s="1"/>
  <c r="BK39" i="6"/>
  <c r="BQ39" i="6" s="1"/>
  <c r="BU39" i="6" s="1"/>
  <c r="BK106" i="6"/>
  <c r="BQ106" i="6" s="1"/>
  <c r="BU106" i="6" s="1"/>
  <c r="BK10" i="6"/>
  <c r="BQ10" i="6" s="1"/>
  <c r="BU10" i="6" s="1"/>
  <c r="BK59" i="6"/>
  <c r="BQ59" i="6" s="1"/>
  <c r="BU59" i="6" s="1"/>
  <c r="BK14" i="6"/>
  <c r="BQ14" i="6" s="1"/>
  <c r="BU14" i="6" s="1"/>
  <c r="BK105" i="6"/>
  <c r="BQ105" i="6" s="1"/>
  <c r="BU105" i="6" s="1"/>
  <c r="BK21" i="6"/>
  <c r="BQ21" i="6" s="1"/>
  <c r="BU21" i="6" s="1"/>
  <c r="BK37" i="6"/>
  <c r="BQ37" i="6" s="1"/>
  <c r="BU37" i="6" s="1"/>
  <c r="BK46" i="6"/>
  <c r="BQ46" i="6" s="1"/>
  <c r="BU46" i="6" s="1"/>
  <c r="BK12" i="6"/>
  <c r="BQ12" i="6" s="1"/>
  <c r="BU12" i="6" s="1"/>
  <c r="BK43" i="6"/>
  <c r="BQ43" i="6" s="1"/>
  <c r="BU43" i="6" s="1"/>
  <c r="BK91" i="6"/>
  <c r="BQ91" i="6" s="1"/>
  <c r="BU91" i="6" s="1"/>
  <c r="BK62" i="6"/>
  <c r="BQ62" i="6" s="1"/>
  <c r="BU62" i="6" s="1"/>
  <c r="BK114" i="6"/>
  <c r="BQ114" i="6" s="1"/>
  <c r="BU114" i="6" s="1"/>
  <c r="BK50" i="6"/>
  <c r="BQ50" i="6" s="1"/>
  <c r="BU50" i="6" s="1"/>
  <c r="BK63" i="6"/>
  <c r="BQ63" i="6" s="1"/>
  <c r="BU63" i="6" s="1"/>
  <c r="BK18" i="6"/>
  <c r="BQ18" i="6" s="1"/>
  <c r="BU18" i="6" s="1"/>
  <c r="BK120" i="6"/>
  <c r="BQ120" i="6" s="1"/>
  <c r="BU120" i="6" s="1"/>
  <c r="BK47" i="6"/>
  <c r="BQ47" i="6" s="1"/>
  <c r="BU47" i="6" s="1"/>
  <c r="BK41" i="6"/>
  <c r="BQ41" i="6" s="1"/>
  <c r="BU41" i="6" s="1"/>
  <c r="BK119" i="6"/>
  <c r="BQ119" i="6" s="1"/>
  <c r="BU119" i="6" s="1"/>
  <c r="BK11" i="6"/>
  <c r="BQ11" i="6" s="1"/>
  <c r="BU11" i="6" s="1"/>
  <c r="BK72" i="6"/>
  <c r="BQ72" i="6" s="1"/>
  <c r="BU72" i="6" s="1"/>
  <c r="BK115" i="6"/>
  <c r="BQ115" i="6" s="1"/>
  <c r="BU115" i="6" s="1"/>
  <c r="BK53" i="6"/>
  <c r="BQ53" i="6" s="1"/>
  <c r="BU53" i="6" s="1"/>
  <c r="BK7" i="6"/>
  <c r="BQ7" i="6" s="1"/>
  <c r="BU7" i="6" s="1"/>
  <c r="BK99" i="6"/>
  <c r="BQ99" i="6" s="1"/>
  <c r="BU99" i="6" s="1"/>
  <c r="BK104" i="6"/>
  <c r="BQ104" i="6" s="1"/>
  <c r="BU104" i="6" s="1"/>
  <c r="BK83" i="6"/>
  <c r="BQ83" i="6" s="1"/>
  <c r="BU83" i="6" s="1"/>
  <c r="BK103" i="6"/>
  <c r="BQ103" i="6" s="1"/>
  <c r="BU103" i="6" s="1"/>
  <c r="BK113" i="6"/>
  <c r="BQ113" i="6" s="1"/>
  <c r="BU113" i="6" s="1"/>
  <c r="BK51" i="6"/>
  <c r="BQ51" i="6" s="1"/>
  <c r="BU51" i="6" s="1"/>
  <c r="BK5" i="6"/>
  <c r="BQ5" i="6" s="1"/>
  <c r="BU5" i="6" s="1"/>
  <c r="BK97" i="6"/>
  <c r="BQ97" i="6" s="1"/>
  <c r="BU97" i="6" s="1"/>
  <c r="BK100" i="6"/>
  <c r="BQ100" i="6" s="1"/>
  <c r="BU100" i="6" s="1"/>
  <c r="BK66" i="6"/>
  <c r="BQ66" i="6" s="1"/>
  <c r="BU66" i="6" s="1"/>
  <c r="BK24" i="6"/>
  <c r="BQ24" i="6" s="1"/>
  <c r="BU24" i="6" s="1"/>
  <c r="BK31" i="6"/>
  <c r="BQ31" i="6" s="1"/>
  <c r="BU31" i="6" s="1"/>
  <c r="BK32" i="6"/>
  <c r="BQ32" i="6" s="1"/>
  <c r="BU32" i="6" s="1"/>
  <c r="BK28" i="6"/>
  <c r="BQ28" i="6" s="1"/>
  <c r="BU28" i="6" s="1"/>
  <c r="BK64" i="6"/>
  <c r="BQ64" i="6" s="1"/>
  <c r="BU64" i="6" s="1"/>
  <c r="BK117" i="6"/>
  <c r="BQ117" i="6" s="1"/>
  <c r="BU117" i="6" s="1"/>
  <c r="BK55" i="6"/>
  <c r="BQ55" i="6" s="1"/>
  <c r="BU55" i="6" s="1"/>
  <c r="BK101" i="6"/>
  <c r="BQ101" i="6" s="1"/>
  <c r="BU101" i="6" s="1"/>
  <c r="BK121" i="6"/>
  <c r="BQ121" i="6" s="1"/>
  <c r="BU121" i="6" s="1"/>
  <c r="BK70" i="6"/>
  <c r="BQ70" i="6" s="1"/>
  <c r="BU70" i="6" s="1"/>
  <c r="BK33" i="6"/>
  <c r="BQ33" i="6" s="1"/>
  <c r="BU33" i="6" s="1"/>
  <c r="BK87" i="6"/>
  <c r="BQ87" i="6" s="1"/>
  <c r="BU87" i="6" s="1"/>
  <c r="BK122" i="6"/>
  <c r="BQ122" i="6" s="1"/>
  <c r="BU122" i="6" s="1"/>
  <c r="BK56" i="6"/>
  <c r="BQ56" i="6" s="1"/>
  <c r="BU56" i="6" s="1"/>
  <c r="BK77" i="6"/>
  <c r="BQ77" i="6" s="1"/>
  <c r="BU77" i="6" s="1"/>
  <c r="BK40" i="6"/>
  <c r="BQ40" i="6" s="1"/>
  <c r="BU40" i="6" s="1"/>
  <c r="BK89" i="6"/>
  <c r="BQ89" i="6" s="1"/>
  <c r="BU89" i="6" s="1"/>
  <c r="BK88" i="6"/>
  <c r="BQ88" i="6" s="1"/>
  <c r="BU88" i="6" s="1"/>
  <c r="BK85" i="6"/>
  <c r="BQ85" i="6" s="1"/>
  <c r="BU85" i="6" s="1"/>
  <c r="BK60" i="6"/>
  <c r="BQ60" i="6" s="1"/>
  <c r="BU60" i="6" s="1"/>
  <c r="BK15" i="6"/>
  <c r="BQ15" i="6" s="1"/>
  <c r="BU15" i="6" s="1"/>
  <c r="BK65" i="6"/>
  <c r="BQ65" i="6" s="1"/>
  <c r="BU65" i="6" s="1"/>
  <c r="BK38" i="6"/>
  <c r="BQ38" i="6" s="1"/>
  <c r="BU38" i="6" s="1"/>
  <c r="BK86" i="6"/>
  <c r="BQ86" i="6" s="1"/>
  <c r="BU86" i="6" s="1"/>
  <c r="BK81" i="6"/>
  <c r="BQ81" i="6" s="1"/>
  <c r="BU81" i="6" s="1"/>
  <c r="BK58" i="6"/>
  <c r="BQ58" i="6" s="1"/>
  <c r="BU58" i="6" s="1"/>
  <c r="BK13" i="6"/>
  <c r="BQ13" i="6" s="1"/>
  <c r="BU13" i="6" s="1"/>
  <c r="BK92" i="6"/>
  <c r="BQ92" i="6" s="1"/>
  <c r="BU92" i="6" s="1"/>
  <c r="BK22" i="6"/>
  <c r="BQ22" i="6" s="1"/>
  <c r="BU22" i="6" s="1"/>
  <c r="BK118" i="6"/>
  <c r="BQ118" i="6" s="1"/>
  <c r="BU118" i="6" s="1"/>
  <c r="BL3" i="4"/>
  <c r="BR3" i="4" s="1"/>
  <c r="BK19" i="1"/>
  <c r="BQ19" i="1" s="1"/>
  <c r="BU19" i="1" s="1"/>
  <c r="BK23" i="1"/>
  <c r="BQ23" i="1" s="1"/>
  <c r="BU23" i="1" s="1"/>
  <c r="BK13" i="1"/>
  <c r="BQ13" i="1" s="1"/>
  <c r="BU13" i="1" s="1"/>
  <c r="BK17" i="1"/>
  <c r="BQ17" i="1" s="1"/>
  <c r="BU17" i="1" s="1"/>
  <c r="BK7" i="1"/>
  <c r="BQ7" i="1" s="1"/>
  <c r="BU7" i="1" s="1"/>
  <c r="BK15" i="1"/>
  <c r="BQ15" i="1" s="1"/>
  <c r="BU15" i="1" s="1"/>
  <c r="BK20" i="1"/>
  <c r="BQ20" i="1" s="1"/>
  <c r="BK22" i="1"/>
  <c r="BQ22" i="1" s="1"/>
  <c r="BU22" i="1" s="1"/>
  <c r="BK24" i="1"/>
  <c r="BQ24" i="1" s="1"/>
  <c r="BK18" i="1"/>
  <c r="BQ18" i="1" s="1"/>
  <c r="BK16" i="1"/>
  <c r="BQ16" i="1" s="1"/>
  <c r="BU16" i="1" s="1"/>
  <c r="BK11" i="1"/>
  <c r="BQ11" i="1" s="1"/>
  <c r="BU11" i="1" s="1"/>
  <c r="BK10" i="1"/>
  <c r="BQ10" i="1" s="1"/>
  <c r="BU10" i="1" s="1"/>
  <c r="BK12" i="1"/>
  <c r="BQ12" i="1" s="1"/>
  <c r="BU12" i="1" s="1"/>
  <c r="BK2" i="1"/>
  <c r="BQ2" i="1" s="1"/>
  <c r="BU2" i="1" s="1"/>
  <c r="BK9" i="1"/>
  <c r="BQ9" i="1" s="1"/>
  <c r="BU9" i="1" s="1"/>
  <c r="BK3" i="1"/>
  <c r="BQ3" i="1" s="1"/>
  <c r="BU3" i="1" s="1"/>
  <c r="BK14" i="1"/>
  <c r="BQ14" i="1" s="1"/>
  <c r="BU14" i="1" s="1"/>
  <c r="BK6" i="1"/>
  <c r="BQ6" i="1" s="1"/>
  <c r="BU6" i="1" s="1"/>
  <c r="BV36" i="4" l="1"/>
  <c r="BV14" i="4"/>
  <c r="BV94" i="4"/>
  <c r="BV9" i="4"/>
  <c r="BV97" i="4"/>
  <c r="BV74" i="4"/>
  <c r="BV57" i="4"/>
  <c r="BV42" i="4"/>
  <c r="BV83" i="4"/>
  <c r="BV50" i="4"/>
  <c r="BV28" i="4"/>
  <c r="BV3" i="4"/>
  <c r="BV39" i="4"/>
  <c r="BV61" i="4"/>
  <c r="BV51" i="4"/>
  <c r="BV75" i="4"/>
  <c r="BV58" i="4"/>
  <c r="BV117" i="4"/>
  <c r="BV66" i="4"/>
  <c r="BV5" i="4"/>
  <c r="BV76" i="4"/>
  <c r="BV95" i="4"/>
  <c r="BV65" i="4"/>
  <c r="BV43" i="4"/>
  <c r="BV104" i="4"/>
  <c r="BV68" i="4"/>
  <c r="BV77" i="4"/>
  <c r="BV84" i="4"/>
  <c r="BV8" i="4"/>
  <c r="BV102" i="4"/>
  <c r="BV121" i="4"/>
  <c r="BV109" i="4"/>
  <c r="BV71" i="4"/>
  <c r="BV67" i="4"/>
  <c r="BV33" i="4"/>
  <c r="BV113" i="4"/>
  <c r="BV56" i="4"/>
  <c r="BV115" i="4"/>
  <c r="BV89" i="4"/>
  <c r="BV73" i="4"/>
  <c r="BV44" i="4"/>
  <c r="BV82" i="4"/>
  <c r="BV99" i="4"/>
  <c r="BV60" i="4"/>
  <c r="BV101" i="4"/>
  <c r="BV72" i="4"/>
  <c r="BV59" i="4"/>
  <c r="BV106" i="4"/>
  <c r="BV85" i="4"/>
  <c r="BV53" i="4"/>
  <c r="BV120" i="4"/>
  <c r="BV105" i="4"/>
  <c r="BV10" i="4"/>
  <c r="BV40" i="4"/>
  <c r="BV92" i="4"/>
  <c r="BV96" i="4"/>
  <c r="BV81" i="4"/>
  <c r="BV52" i="4"/>
  <c r="BV49" i="4"/>
  <c r="BV86" i="4"/>
  <c r="BV87" i="4"/>
  <c r="BV41" i="4"/>
  <c r="BV100" i="4"/>
  <c r="BV91" i="4"/>
  <c r="BV70" i="4"/>
  <c r="BV110" i="4"/>
  <c r="BV31" i="4"/>
  <c r="BV114" i="4"/>
  <c r="BV29" i="4"/>
  <c r="BV88" i="4"/>
  <c r="BV63" i="4"/>
  <c r="BV69" i="4"/>
  <c r="BV46" i="4"/>
  <c r="BV108" i="4"/>
  <c r="BV111" i="4"/>
  <c r="BV119" i="4"/>
  <c r="BV54" i="4"/>
  <c r="BV38" i="4"/>
  <c r="BV93" i="4"/>
  <c r="BV64" i="4"/>
  <c r="G130" i="2"/>
  <c r="BU18" i="1"/>
  <c r="BU20" i="1"/>
  <c r="E133" i="2"/>
  <c r="BU21" i="1"/>
  <c r="BU24" i="1"/>
  <c r="E74" i="2" l="1"/>
  <c r="G133" i="2"/>
  <c r="G134" i="2"/>
  <c r="D131" i="2"/>
  <c r="E134" i="2"/>
  <c r="D117" i="2"/>
  <c r="E78" i="2"/>
  <c r="C133" i="2"/>
  <c r="G132" i="2"/>
  <c r="D119" i="2"/>
  <c r="E119" i="2" s="1"/>
  <c r="D134" i="2"/>
  <c r="D120" i="2"/>
  <c r="E120" i="2" s="1"/>
  <c r="D118" i="2"/>
  <c r="C130" i="2"/>
  <c r="F134" i="2"/>
  <c r="E77" i="2"/>
  <c r="F133" i="2"/>
  <c r="E131" i="2"/>
  <c r="D116" i="2"/>
  <c r="E116" i="2" s="1"/>
  <c r="F130" i="2"/>
  <c r="D130" i="2"/>
  <c r="E130" i="2"/>
  <c r="C131" i="2"/>
  <c r="C134" i="2"/>
  <c r="D133" i="2"/>
  <c r="E80" i="2"/>
  <c r="D122" i="2"/>
  <c r="E122" i="2" s="1"/>
  <c r="D121" i="2"/>
  <c r="E121" i="2" s="1"/>
  <c r="F132" i="2"/>
  <c r="C132" i="2"/>
  <c r="F131" i="2"/>
  <c r="E132" i="2"/>
  <c r="D115" i="2"/>
  <c r="D132" i="2"/>
  <c r="G131" i="2"/>
  <c r="E83" i="2"/>
  <c r="E79" i="2"/>
  <c r="E75" i="2"/>
  <c r="E76" i="2"/>
  <c r="E82" i="2"/>
  <c r="E81" i="2"/>
  <c r="C117" i="2"/>
  <c r="H117" i="2" s="1"/>
  <c r="C116" i="2"/>
  <c r="H116" i="2" s="1"/>
  <c r="C120" i="2"/>
  <c r="H120" i="2" s="1"/>
  <c r="C119" i="2"/>
  <c r="H119" i="2" s="1"/>
  <c r="C118" i="2"/>
  <c r="H118" i="2" s="1"/>
  <c r="C121" i="2"/>
  <c r="H121" i="2" s="1"/>
  <c r="J121" i="2" s="1"/>
  <c r="C115" i="2"/>
  <c r="H115" i="2" s="1"/>
  <c r="C122" i="2"/>
  <c r="H122" i="2" s="1"/>
  <c r="J122" i="2" s="1"/>
  <c r="F115" i="2" l="1"/>
  <c r="I115" i="2" s="1"/>
  <c r="J115" i="2" s="1"/>
  <c r="K122" i="2" s="1"/>
  <c r="E115" i="2"/>
  <c r="C135" i="2"/>
  <c r="F119" i="2"/>
  <c r="I119" i="2" s="1"/>
  <c r="J119" i="2" s="1"/>
  <c r="F117" i="2"/>
  <c r="I117" i="2" s="1"/>
  <c r="J117" i="2" s="1"/>
  <c r="G135" i="2"/>
  <c r="F120" i="2"/>
  <c r="I120" i="2" s="1"/>
  <c r="J120" i="2" s="1"/>
  <c r="E117" i="2"/>
  <c r="F135" i="2"/>
  <c r="D135" i="2"/>
  <c r="F121" i="2"/>
  <c r="E135" i="2"/>
  <c r="F118" i="2"/>
  <c r="I118" i="2" s="1"/>
  <c r="J118" i="2" s="1"/>
  <c r="E118" i="2"/>
  <c r="F122" i="2"/>
  <c r="F116" i="2"/>
  <c r="I116" i="2" s="1"/>
  <c r="J116" i="2" s="1"/>
  <c r="K121" i="2" l="1"/>
  <c r="K119" i="2"/>
  <c r="K120" i="2"/>
  <c r="K115" i="2"/>
  <c r="K117" i="2"/>
  <c r="K123" i="2"/>
  <c r="K118" i="2"/>
  <c r="K116" i="2"/>
</calcChain>
</file>

<file path=xl/sharedStrings.xml><?xml version="1.0" encoding="utf-8"?>
<sst xmlns="http://schemas.openxmlformats.org/spreadsheetml/2006/main" count="2375" uniqueCount="564">
  <si>
    <t>FACILITYID</t>
  </si>
  <si>
    <t>LOCDESC</t>
  </si>
  <si>
    <t>SIZE1</t>
  </si>
  <si>
    <t>SIZE2</t>
  </si>
  <si>
    <t>SIZE3</t>
  </si>
  <si>
    <t>CatchID</t>
  </si>
  <si>
    <t>DrainID</t>
  </si>
  <si>
    <t>INSPECTED</t>
  </si>
  <si>
    <t>FACTYPE</t>
  </si>
  <si>
    <t>JURISDICTI</t>
  </si>
  <si>
    <t>MANAGEMENT</t>
  </si>
  <si>
    <t>Watershed</t>
  </si>
  <si>
    <t>Shape_Length</t>
  </si>
  <si>
    <t>Shape_Area</t>
  </si>
  <si>
    <t>POLY_AREA</t>
  </si>
  <si>
    <t>Per_Developed</t>
  </si>
  <si>
    <t>Per_Residential</t>
  </si>
  <si>
    <t>Per_Aliso</t>
  </si>
  <si>
    <t>Per_Dana</t>
  </si>
  <si>
    <t>Per_LB</t>
  </si>
  <si>
    <t>Per_LH</t>
  </si>
  <si>
    <t>Per_LN</t>
  </si>
  <si>
    <t>Per_LW</t>
  </si>
  <si>
    <t>Per_LF</t>
  </si>
  <si>
    <t>Per_MV</t>
  </si>
  <si>
    <t>Per_OC</t>
  </si>
  <si>
    <t>Per_RSM</t>
  </si>
  <si>
    <t>Per_SC</t>
  </si>
  <si>
    <t>downstream</t>
  </si>
  <si>
    <t>AnalysisPeriod</t>
  </si>
  <si>
    <t>AvgFlow</t>
  </si>
  <si>
    <t>MedianFlow</t>
  </si>
  <si>
    <t>Avg_Med_Flow_diff_percnt</t>
  </si>
  <si>
    <t>MinFlow</t>
  </si>
  <si>
    <t>MaxFlow</t>
  </si>
  <si>
    <t>MedDailyMax</t>
  </si>
  <si>
    <t>MedDailyMin</t>
  </si>
  <si>
    <t>MaxDailyMin</t>
  </si>
  <si>
    <t>Ratio_MedDailyMax_to_Median</t>
  </si>
  <si>
    <t>Ratio_MedDailyMin_to_Median</t>
  </si>
  <si>
    <t>Weekday_AvgFlow</t>
  </si>
  <si>
    <t>Weekday_MaxFlow</t>
  </si>
  <si>
    <t>Weekday_MedianFlow</t>
  </si>
  <si>
    <t>Weekday_MinFlow</t>
  </si>
  <si>
    <t>Weekend_AvgFlow</t>
  </si>
  <si>
    <t>Weekend_MaxFlow</t>
  </si>
  <si>
    <t>Weekend_MedianFlow</t>
  </si>
  <si>
    <t>Weekend_MinFlow</t>
  </si>
  <si>
    <t>J01-9007-1</t>
  </si>
  <si>
    <t>J01</t>
  </si>
  <si>
    <t>SOUTH</t>
  </si>
  <si>
    <t>Aliso</t>
  </si>
  <si>
    <t>Direct Connection</t>
  </si>
  <si>
    <t>Flowing</t>
  </si>
  <si>
    <t>Major (&gt;50%)</t>
  </si>
  <si>
    <t>Jun-10 - Jun-24, 13 days</t>
  </si>
  <si>
    <t>J03-9221-1</t>
  </si>
  <si>
    <t>J03</t>
  </si>
  <si>
    <t>LAGUNA NIGUEL</t>
  </si>
  <si>
    <t>Jun- 1 - Jun-14, 12 days</t>
  </si>
  <si>
    <t>L02-166-2</t>
  </si>
  <si>
    <t>L02P25</t>
  </si>
  <si>
    <t>L02</t>
  </si>
  <si>
    <t>RANCHO SANTA MARGARITA</t>
  </si>
  <si>
    <t>San Juan Creek</t>
  </si>
  <si>
    <t>Apr- 6 - May- 3, 27 days</t>
  </si>
  <si>
    <t>L02-374-1</t>
  </si>
  <si>
    <t>L02P50</t>
  </si>
  <si>
    <t>ORANGE CO</t>
  </si>
  <si>
    <t>Minor (10% - 50%)</t>
  </si>
  <si>
    <t>May-25 - Jun- 8, 13 days</t>
  </si>
  <si>
    <t>L02-246-1</t>
  </si>
  <si>
    <t>L11P01</t>
  </si>
  <si>
    <t>Jun-16 - Jun-30, 13 days</t>
  </si>
  <si>
    <t>J06-9079-1</t>
  </si>
  <si>
    <t>J06</t>
  </si>
  <si>
    <t>Jun-24 - Jul-11, 16 days</t>
  </si>
  <si>
    <t>J06-10011-1</t>
  </si>
  <si>
    <t>J01-9082-2</t>
  </si>
  <si>
    <t>Jun- 9 - Jun-24, 14 days</t>
  </si>
  <si>
    <t>K01-12126-1</t>
  </si>
  <si>
    <t>K01S01</t>
  </si>
  <si>
    <t>K01</t>
  </si>
  <si>
    <t>DANA POINT</t>
  </si>
  <si>
    <t>Dana Point</t>
  </si>
  <si>
    <t>K01-12177-1</t>
  </si>
  <si>
    <t>K01P07</t>
  </si>
  <si>
    <t>Jun- 2 - Jun-13, 11 days</t>
  </si>
  <si>
    <t>K01-12058-1</t>
  </si>
  <si>
    <t>K01P08</t>
  </si>
  <si>
    <t>Jun-15 - Jun-29, 14 days</t>
  </si>
  <si>
    <t>K01-12058-2</t>
  </si>
  <si>
    <t>K01P09</t>
  </si>
  <si>
    <t>L01-724-4</t>
  </si>
  <si>
    <t>L01P03</t>
  </si>
  <si>
    <t>L01</t>
  </si>
  <si>
    <t>SAN JUAN CAPISTRANO</t>
  </si>
  <si>
    <t>Mar-17 - Mar-21, 3 days</t>
  </si>
  <si>
    <t>L02-166-3</t>
  </si>
  <si>
    <t>L02P26</t>
  </si>
  <si>
    <t>L04-136-1</t>
  </si>
  <si>
    <t>L04P07</t>
  </si>
  <si>
    <t>L04</t>
  </si>
  <si>
    <t>MISSION VIEJO</t>
  </si>
  <si>
    <t>Jun-30 - Jul-14, 13 days</t>
  </si>
  <si>
    <t>L04-266-5</t>
  </si>
  <si>
    <t>Jun-30 - Jul-15, 14 days</t>
  </si>
  <si>
    <t>L03-691-1</t>
  </si>
  <si>
    <t>L03P09</t>
  </si>
  <si>
    <t>L03</t>
  </si>
  <si>
    <t>Partial</t>
  </si>
  <si>
    <t>Jun-15 - Jun-29, 13 days</t>
  </si>
  <si>
    <t>L03-316-3</t>
  </si>
  <si>
    <t>L03P12</t>
  </si>
  <si>
    <t>Small (&lt;10%)</t>
  </si>
  <si>
    <t>L03-693-1</t>
  </si>
  <si>
    <t>L03P11</t>
  </si>
  <si>
    <t>L03-662-3</t>
  </si>
  <si>
    <t>L03P16</t>
  </si>
  <si>
    <t>May-31 - Jun-14, 13 days</t>
  </si>
  <si>
    <t>L03-214-2</t>
  </si>
  <si>
    <t>L03-073-3</t>
  </si>
  <si>
    <t>Jul- 1 - Jul-15, 13 days</t>
  </si>
  <si>
    <t>L03-141-1</t>
  </si>
  <si>
    <t>Jun- 2 - Jun-14, 12 days</t>
  </si>
  <si>
    <t>J01-9082-4</t>
  </si>
  <si>
    <t>J06-9362-1</t>
  </si>
  <si>
    <t>L03-418-8</t>
  </si>
  <si>
    <t>J07-9109-4</t>
  </si>
  <si>
    <t>J07P02</t>
  </si>
  <si>
    <t>J07</t>
  </si>
  <si>
    <t>Dry</t>
  </si>
  <si>
    <t>Apr-13 - May- 9, 26 days</t>
  </si>
  <si>
    <t>L03-708-11</t>
  </si>
  <si>
    <t>L03P05</t>
  </si>
  <si>
    <t>Apr- 7 - May- 4, 26 days</t>
  </si>
  <si>
    <t>L01-727-1</t>
  </si>
  <si>
    <t>L01S04</t>
  </si>
  <si>
    <t>J01-9144-4</t>
  </si>
  <si>
    <t>J01P26</t>
  </si>
  <si>
    <t>J01-9992-1</t>
  </si>
  <si>
    <t>J01P27</t>
  </si>
  <si>
    <t>J01-9131-1</t>
  </si>
  <si>
    <t>J01P28</t>
  </si>
  <si>
    <t>J01-10019-1</t>
  </si>
  <si>
    <t>J01P33</t>
  </si>
  <si>
    <t>L01-728-5</t>
  </si>
  <si>
    <t>LB2</t>
  </si>
  <si>
    <t>LC06</t>
  </si>
  <si>
    <t>Laguna Coast</t>
  </si>
  <si>
    <t>J01-9377-1</t>
  </si>
  <si>
    <t>J01-9349-1</t>
  </si>
  <si>
    <t>J01-9046-1</t>
  </si>
  <si>
    <t>J01-9008-1</t>
  </si>
  <si>
    <t>J01P30</t>
  </si>
  <si>
    <t>J01-10017-1</t>
  </si>
  <si>
    <t>J01TBN4</t>
  </si>
  <si>
    <t>J01-9224-2</t>
  </si>
  <si>
    <t>J01P25</t>
  </si>
  <si>
    <t>J01-9224-1</t>
  </si>
  <si>
    <t>J01P24</t>
  </si>
  <si>
    <t>J01-9144-1</t>
  </si>
  <si>
    <t>J01P23</t>
  </si>
  <si>
    <t>J01-9066-1</t>
  </si>
  <si>
    <t>J01-9066-2</t>
  </si>
  <si>
    <t>J01-9785-1</t>
  </si>
  <si>
    <t>J01-9005-1</t>
  </si>
  <si>
    <t>J03P05</t>
  </si>
  <si>
    <t>J03-9368-1</t>
  </si>
  <si>
    <t>J03TBN1</t>
  </si>
  <si>
    <t>J03-9215-3</t>
  </si>
  <si>
    <t>J03-9368-2</t>
  </si>
  <si>
    <t>J03TBN2</t>
  </si>
  <si>
    <t>J01-9313-1</t>
  </si>
  <si>
    <t>I01-11343-2</t>
  </si>
  <si>
    <t>I01</t>
  </si>
  <si>
    <t>I00-11468-1</t>
  </si>
  <si>
    <t>I00</t>
  </si>
  <si>
    <t>SC12</t>
  </si>
  <si>
    <t>SAN CLEMENTE</t>
  </si>
  <si>
    <t>San Clemente</t>
  </si>
  <si>
    <t>LINDAL (M00S07)</t>
  </si>
  <si>
    <t>M00.2</t>
  </si>
  <si>
    <t>M01-042-1</t>
  </si>
  <si>
    <t>M01S01</t>
  </si>
  <si>
    <t>M01</t>
  </si>
  <si>
    <t>L01-749-2</t>
  </si>
  <si>
    <t>L01-618-5</t>
  </si>
  <si>
    <t>L01S09</t>
  </si>
  <si>
    <t>L01-766-7</t>
  </si>
  <si>
    <t>L02-541-9</t>
  </si>
  <si>
    <t>L02P02</t>
  </si>
  <si>
    <t>L01-766-4</t>
  </si>
  <si>
    <t>L01-766-2</t>
  </si>
  <si>
    <t>L01S06</t>
  </si>
  <si>
    <t>K01-12155-1</t>
  </si>
  <si>
    <t>K01-12036-1</t>
  </si>
  <si>
    <t>K01-12036-5</t>
  </si>
  <si>
    <t>K01-12032-2</t>
  </si>
  <si>
    <t>K01P11</t>
  </si>
  <si>
    <t>K01-12156-4</t>
  </si>
  <si>
    <t>K01-12138-1</t>
  </si>
  <si>
    <t>K01TBN1</t>
  </si>
  <si>
    <t>L00-12094-1</t>
  </si>
  <si>
    <t>L00P01</t>
  </si>
  <si>
    <t>L00</t>
  </si>
  <si>
    <t>L01-728-3</t>
  </si>
  <si>
    <t>L01S02</t>
  </si>
  <si>
    <t>L01-724-1</t>
  </si>
  <si>
    <t>L01S01</t>
  </si>
  <si>
    <t>None - Flow Infiltrates</t>
  </si>
  <si>
    <t>Pooled or Ponded</t>
  </si>
  <si>
    <t>M02-085-1</t>
  </si>
  <si>
    <t>M02P06</t>
  </si>
  <si>
    <t>M02</t>
  </si>
  <si>
    <t>L01-223-1</t>
  </si>
  <si>
    <t>L08TBN1</t>
  </si>
  <si>
    <t>L01-731-1</t>
  </si>
  <si>
    <t>L08TBN2</t>
  </si>
  <si>
    <t>L01-125-2</t>
  </si>
  <si>
    <t>L02-622-2</t>
  </si>
  <si>
    <t>L02P32</t>
  </si>
  <si>
    <t>L01-261-1</t>
  </si>
  <si>
    <t>L07</t>
  </si>
  <si>
    <t>L03-455-1</t>
  </si>
  <si>
    <t>L03-455-7</t>
  </si>
  <si>
    <t>L03-418-1</t>
  </si>
  <si>
    <t>L03-708-1</t>
  </si>
  <si>
    <t>L04-301-1</t>
  </si>
  <si>
    <t>L04P08</t>
  </si>
  <si>
    <t>J07-9110-1</t>
  </si>
  <si>
    <t>J07-9110-2</t>
  </si>
  <si>
    <t>J07-9110-3</t>
  </si>
  <si>
    <t>J07-9109-2</t>
  </si>
  <si>
    <t>L03-074-1</t>
  </si>
  <si>
    <t>L03B01</t>
  </si>
  <si>
    <t>L03-172-2</t>
  </si>
  <si>
    <t>L03-142-1</t>
  </si>
  <si>
    <t>L03P24</t>
  </si>
  <si>
    <t>L05-049-1</t>
  </si>
  <si>
    <t>L05</t>
  </si>
  <si>
    <t>L01-340-1</t>
  </si>
  <si>
    <t>M01-050-4</t>
  </si>
  <si>
    <t>M01@CGV</t>
  </si>
  <si>
    <t>L01-747-2</t>
  </si>
  <si>
    <t>L05-489-3</t>
  </si>
  <si>
    <t>L05-489-7</t>
  </si>
  <si>
    <t>L01-730-1</t>
  </si>
  <si>
    <t>L01-218-2</t>
  </si>
  <si>
    <t>L02-641-2</t>
  </si>
  <si>
    <t>Right pipe</t>
  </si>
  <si>
    <t>L03-455-5</t>
  </si>
  <si>
    <t>I01-11010-1</t>
  </si>
  <si>
    <t>K01-12155-5</t>
  </si>
  <si>
    <t>K01-12036-10</t>
  </si>
  <si>
    <t>L03-316-4</t>
  </si>
  <si>
    <t>J01-9082-3</t>
  </si>
  <si>
    <t>J07-9109-1</t>
  </si>
  <si>
    <t>M02-032-1</t>
  </si>
  <si>
    <t>Heisler</t>
  </si>
  <si>
    <t>fisherman cove</t>
  </si>
  <si>
    <t>LC02</t>
  </si>
  <si>
    <t>DSB-3</t>
  </si>
  <si>
    <t>SC11</t>
  </si>
  <si>
    <t>L02-641-1</t>
  </si>
  <si>
    <t>Left pipe</t>
  </si>
  <si>
    <t>L03-455-2</t>
  </si>
  <si>
    <t>L03-316-1</t>
  </si>
  <si>
    <t>L01-404-1</t>
  </si>
  <si>
    <t>L01-760-1</t>
  </si>
  <si>
    <t>L01-760-2</t>
  </si>
  <si>
    <t>DSB-5</t>
  </si>
  <si>
    <t>DP06</t>
  </si>
  <si>
    <t>L01-372-1</t>
  </si>
  <si>
    <t>L03-708-9</t>
  </si>
  <si>
    <t>L03-316-2</t>
  </si>
  <si>
    <t>insp_flow_obs</t>
  </si>
  <si>
    <t>insp_avg_flow_width</t>
  </si>
  <si>
    <t>insp_avg_flow_depth</t>
  </si>
  <si>
    <t>insp_avg_flow_vel</t>
  </si>
  <si>
    <t>insp_min_dis</t>
  </si>
  <si>
    <t>insp_max_dis</t>
  </si>
  <si>
    <t>insp_avg_dis</t>
  </si>
  <si>
    <t>insp_conn</t>
  </si>
  <si>
    <t>insp_upstream</t>
  </si>
  <si>
    <t>insp_contribution</t>
  </si>
  <si>
    <t>No Entry</t>
  </si>
  <si>
    <t>Score</t>
  </si>
  <si>
    <t>Row Labels</t>
  </si>
  <si>
    <t>(blank)</t>
  </si>
  <si>
    <t>Grand Total</t>
  </si>
  <si>
    <t>Column Labels</t>
  </si>
  <si>
    <t>Count of insp_avg_dis</t>
  </si>
  <si>
    <t>Average of insp_avg_dis</t>
  </si>
  <si>
    <t>Average of sites with data</t>
  </si>
  <si>
    <t>Use "Ratio_MedDailyMin_to_Median" field where available</t>
  </si>
  <si>
    <t xml:space="preserve"> Bin Definition</t>
  </si>
  <si>
    <t>Percentile</t>
  </si>
  <si>
    <t>Bin Upper Limit</t>
  </si>
  <si>
    <t>Best Est Median Flow</t>
  </si>
  <si>
    <t>Use the median from flow meter if available; otherwise use average of inspection estimates multipled by 0.56 (average ratio of median from Hach meters divided by inspection estimates )</t>
  </si>
  <si>
    <t>Based on POLY_AREA* Per_Developed, if not available use a placeholder of 5</t>
  </si>
  <si>
    <t>Developed Ac</t>
  </si>
  <si>
    <t>(based on weighted average score for sites with observations)</t>
  </si>
  <si>
    <t>Scoring</t>
  </si>
  <si>
    <t>Weighting</t>
  </si>
  <si>
    <t>Bin Lower Limit</t>
  </si>
  <si>
    <t>Value in field multiplied by 100</t>
  </si>
  <si>
    <t>Where not available, use 40 (which is based on average of available values )</t>
  </si>
  <si>
    <t>Connectivity Modifier</t>
  </si>
  <si>
    <t>Flow Magnitude Score</t>
  </si>
  <si>
    <t>Baseflow Score</t>
  </si>
  <si>
    <t>Developed Area Score</t>
  </si>
  <si>
    <t>Two or more site observations</t>
  </si>
  <si>
    <t>Connectivity observations</t>
  </si>
  <si>
    <t>Hach flow meters</t>
  </si>
  <si>
    <t>Y</t>
  </si>
  <si>
    <t>At least one site observation of flowing water</t>
  </si>
  <si>
    <t>Sum</t>
  </si>
  <si>
    <t>Weighted Composite Score</t>
  </si>
  <si>
    <t>Connectivity Modifier (applied after adding all weighted scores)</t>
  </si>
  <si>
    <t>Lower Bound</t>
  </si>
  <si>
    <t>Upper Bound</t>
  </si>
  <si>
    <t>Range</t>
  </si>
  <si>
    <t>Count in Bin</t>
  </si>
  <si>
    <t>Relative Contribution to Downstream Flow in Stream</t>
  </si>
  <si>
    <t>Factor</t>
  </si>
  <si>
    <t>Weight</t>
  </si>
  <si>
    <t>Weighted Contribution Score</t>
  </si>
  <si>
    <t>Contribution Score</t>
  </si>
  <si>
    <t>Weighted Flow Magnitude Score</t>
  </si>
  <si>
    <t>Weighted Baseflow Score</t>
  </si>
  <si>
    <t>Weighted Developed Area Score</t>
  </si>
  <si>
    <t>Certainty Score</t>
  </si>
  <si>
    <t>Weighted Certainty Score</t>
  </si>
  <si>
    <t xml:space="preserve"> Bin Definition, acres</t>
  </si>
  <si>
    <t>Diameter</t>
  </si>
  <si>
    <t>Box Width</t>
  </si>
  <si>
    <t>Box Height</t>
  </si>
  <si>
    <t>Tributary Area, ac</t>
  </si>
  <si>
    <t>Jurisdiction</t>
  </si>
  <si>
    <t>Facility ID</t>
  </si>
  <si>
    <t>Average Discharge Estimate from Transitional Monitoring, cfs</t>
  </si>
  <si>
    <t>Connectivity</t>
  </si>
  <si>
    <t>Upstream Condition</t>
  </si>
  <si>
    <t>Downstream Condition</t>
  </si>
  <si>
    <t>Relative Contribution of Outfall</t>
  </si>
  <si>
    <t>Median Flow, cfs</t>
  </si>
  <si>
    <t>Analysis Period</t>
  </si>
  <si>
    <t>Tributary Developed Area, ac</t>
  </si>
  <si>
    <t>Median of Daily Maximums, cfs</t>
  </si>
  <si>
    <t>Median of Daily Minimums, cfs</t>
  </si>
  <si>
    <t>Peak Ratio: Median of Daily Max to Overall Median</t>
  </si>
  <si>
    <t>Baseflow Ratio: Median of Daily Min to Overall Median</t>
  </si>
  <si>
    <t>Best Est Median Flow, cfs</t>
  </si>
  <si>
    <t>Raw Scores</t>
  </si>
  <si>
    <t>Weighted Scores</t>
  </si>
  <si>
    <t>Flow Monitoring Results</t>
  </si>
  <si>
    <t>Transitional Monitoring Estimates and Observations</t>
  </si>
  <si>
    <t>GIS Delineation</t>
  </si>
  <si>
    <t>Percent Developed</t>
  </si>
  <si>
    <t>Facility ID and Location</t>
  </si>
  <si>
    <t>Priority Score Threshold</t>
  </si>
  <si>
    <t>Average CFS/outfall</t>
  </si>
  <si>
    <t>Total Cumulative Flow, MGD</t>
  </si>
  <si>
    <t>Total Cumulative Flow, CFS</t>
  </si>
  <si>
    <t># of Outfalls Above Threshold</t>
  </si>
  <si>
    <t>Score Threshold</t>
  </si>
  <si>
    <t>Count of Outfalls by Watershed and Score Threshold</t>
  </si>
  <si>
    <t>Summary of Outfalls by Score Threshold</t>
  </si>
  <si>
    <t>Distribution of Composite Scores</t>
  </si>
  <si>
    <t>Developed Area Treated Score</t>
  </si>
  <si>
    <t>Results - Composite Scores</t>
  </si>
  <si>
    <t>Outfall Prioritization Scoring Inputs and Results Summary</t>
  </si>
  <si>
    <t xml:space="preserve"> </t>
  </si>
  <si>
    <t>Sum of Best Est Median Flow</t>
  </si>
  <si>
    <t>(Multiple Items)</t>
  </si>
  <si>
    <t>Total Flow, cfs (Score 50+)</t>
  </si>
  <si>
    <t>Total Flow, cfs (Total Score 60+)</t>
  </si>
  <si>
    <t>Best Estimate for Sites 60+</t>
  </si>
  <si>
    <t xml:space="preserve">Total </t>
  </si>
  <si>
    <t>Notes</t>
  </si>
  <si>
    <t>Based on average of Sites 50+, prorated based on ratio of total flow 60+/50+</t>
  </si>
  <si>
    <t>Flow Reduction or Management from Structural Outfall Controls, cfs (based on scoring threshold of approximately 50+)</t>
  </si>
  <si>
    <t>Percent of Tributary Area by Jurisdiction</t>
  </si>
  <si>
    <t>Laguna Beach</t>
  </si>
  <si>
    <t>Laguna Hills</t>
  </si>
  <si>
    <t>Laguna Niguel</t>
  </si>
  <si>
    <t>Laguna Woods</t>
  </si>
  <si>
    <t>Lake Forest</t>
  </si>
  <si>
    <t>Mission Viejo</t>
  </si>
  <si>
    <t>Orange County</t>
  </si>
  <si>
    <t>Rancho Santa Margarita</t>
  </si>
  <si>
    <t>Aliso Viejo</t>
  </si>
  <si>
    <t>grewalj</t>
  </si>
  <si>
    <t>{85F038FF-7A9A-4F9B-B485-93CC3AF365D6}</t>
  </si>
  <si>
    <t>{0AEDC273-26B2-4BF8-B17D-8949C3BBD288}</t>
  </si>
  <si>
    <t>{0C989C2F-462F-4428-819E-DDDB7C428721}</t>
  </si>
  <si>
    <t>{4ECEC444-25FF-4C4A-9A90-34D1C472BF63}</t>
  </si>
  <si>
    <t>{E6CCE9CF-D059-48B1-97C5-E08B746653CE}</t>
  </si>
  <si>
    <t>{DA75873A-135F-443E-8320-CAD97C1E2AFD}</t>
  </si>
  <si>
    <t>{D82AAA0D-D739-4098-B08A-5FA8F5240144}</t>
  </si>
  <si>
    <t>{E3C6024A-D11B-412E-B2F9-A1FAE9FE45AF}</t>
  </si>
  <si>
    <t>{1AD4F279-C285-4A6D-92A4-C69206103FC5}</t>
  </si>
  <si>
    <t>{53AD76F4-8ABD-4D65-9729-885C038CD71F}</t>
  </si>
  <si>
    <t>{53F257FD-B9CF-4BFA-844A-4B9E28975D76}</t>
  </si>
  <si>
    <t>{17DE5875-BC87-488E-95FC-0C55F56CEA02}</t>
  </si>
  <si>
    <t>{2F5C4F48-04A0-40D0-8045-3CA3903E98DA}</t>
  </si>
  <si>
    <t>{8866CC0C-FA1F-4D2E-A58C-0D53B8A68897}</t>
  </si>
  <si>
    <t>{72BB78DF-3FAA-48F5-B1FE-B83E33111934}</t>
  </si>
  <si>
    <t>{FBBE4409-8796-4ED1-89DB-0FD0AA1124D0}</t>
  </si>
  <si>
    <t>{C157C17B-B010-4075-ADAD-05D3D775B72A}</t>
  </si>
  <si>
    <t>{2670379E-8A2A-47BD-885A-AD586F85DE5A}</t>
  </si>
  <si>
    <t>{73D0B24D-E986-4CEA-B4AA-F50817901730}</t>
  </si>
  <si>
    <t>{7FA3B46B-B931-4D5F-9A48-2FD9AD5E8313}</t>
  </si>
  <si>
    <t>{04133F00-8207-420B-8950-256E98DD3AAA}</t>
  </si>
  <si>
    <t>{2DB7AA04-1088-4C2D-BE29-A5FD5E554CF2}</t>
  </si>
  <si>
    <t>{0DA98645-BB3F-445D-BE09-A7135B3A1D98}</t>
  </si>
  <si>
    <t>{EA77BD5D-1F88-48DC-9A11-752CE7EE9D85}</t>
  </si>
  <si>
    <t>{35BA4294-01F1-4845-ACE0-782EFF32DBB1}</t>
  </si>
  <si>
    <t>{25F13CF0-F005-4F8E-A0FD-8073F86485F2}</t>
  </si>
  <si>
    <t>{D2AD586C-A1C7-491E-A455-77D895BE53FB}</t>
  </si>
  <si>
    <t>{65A1D494-D1D1-44C7-BFEE-300631FCF4FC}</t>
  </si>
  <si>
    <t>{F5AF9FB0-29B3-43C8-9BF8-36A51A74C0D6}</t>
  </si>
  <si>
    <t>SC06</t>
  </si>
  <si>
    <t>{3D2CF80E-50CA-47B6-80DB-03A228BE4DAB}</t>
  </si>
  <si>
    <t>J01-9273-1</t>
  </si>
  <si>
    <t>{A91386FB-A3E0-4C5F-B1EA-F10C76A9C155}</t>
  </si>
  <si>
    <t>{AC1FA867-25B2-4621-9F74-F3A05CEC585B}</t>
  </si>
  <si>
    <t>{19FF876B-EB28-4310-8482-DDE8E3329A30}</t>
  </si>
  <si>
    <t>{D4F26DF4-450D-425C-9154-F52ACF2272CC}</t>
  </si>
  <si>
    <t>{94FC0D4D-D21B-43CF-B292-1C7578DE0788}</t>
  </si>
  <si>
    <t>{F00D4D6B-E61F-4A25-B2C2-AAFDA2B12294}</t>
  </si>
  <si>
    <t>{F922FBC0-093A-4FA2-9A94-C4D878A8AE6A}</t>
  </si>
  <si>
    <t>{1E6E3782-D74D-4BC0-9019-A20DE3281737}</t>
  </si>
  <si>
    <t>{BB44BF86-77BC-471F-BBC1-86E48016CF30}</t>
  </si>
  <si>
    <t>{EFB82A5C-2DC6-4821-8EFC-432ED0FABB12}</t>
  </si>
  <si>
    <t>{D6D2596B-B9C0-4632-9C1C-92EDA5DB0A9F}</t>
  </si>
  <si>
    <t>{417F50C3-343C-4186-9DCE-FDCB77376FD7}</t>
  </si>
  <si>
    <t>{96FD71EA-F872-4306-B0E7-B74B2D4FE12C}</t>
  </si>
  <si>
    <t>{2A2715B2-313D-4A8E-A56C-157C79F3F7AC}</t>
  </si>
  <si>
    <t>Kelvin.Liu</t>
  </si>
  <si>
    <t>{6AAAA2EA-ABCC-479B-A98C-5A214A31FA4D}</t>
  </si>
  <si>
    <t>{7A535CDC-FB9C-4567-BEFF-94286E2BF0E7}</t>
  </si>
  <si>
    <t>{BBBCF07C-1F50-4993-AD1E-375D0A6D4771}</t>
  </si>
  <si>
    <t>{402BCE43-F175-452E-A1F7-86BD1D549F74}</t>
  </si>
  <si>
    <t>{FFD70281-A5C0-453F-8482-FBFE5FD7E309}</t>
  </si>
  <si>
    <t>{C5FDA645-932C-4FC8-86A5-7735A9CEEC2F}</t>
  </si>
  <si>
    <t>{C6FF09A0-36E4-48AE-A197-503F36028C85}</t>
  </si>
  <si>
    <t>{2257383A-69B3-46F7-8362-68C35B82DDAA}</t>
  </si>
  <si>
    <t>{7C0FE0D0-2D73-4103-B44F-D40778B4773E}</t>
  </si>
  <si>
    <t>{0E481457-00A7-4293-8809-72431A9BBB20}</t>
  </si>
  <si>
    <t>{D1AC335D-2426-42E7-B912-10594EC5AB29}</t>
  </si>
  <si>
    <t>{8302F7B8-674F-4924-870C-E3612D8A4C5A}</t>
  </si>
  <si>
    <t>{92D1BF8A-C023-4129-B059-46A1890A0FD5}</t>
  </si>
  <si>
    <t>{F4F40D46-B857-4DD5-B742-B7D22E252AE5}</t>
  </si>
  <si>
    <t>{AEE47698-9300-4B30-AC71-79EFCACE3077}</t>
  </si>
  <si>
    <t>{8F69871E-1000-403E-BFFB-AEE2A8F1C7CC}</t>
  </si>
  <si>
    <t>{B8ACD6EF-8288-4C7A-A568-30E580F0954D}</t>
  </si>
  <si>
    <t>{84FB6C9C-01FF-4C13-A5CD-67A24D6887D5}</t>
  </si>
  <si>
    <t>{0700B1EB-A061-4EC1-A022-5B6D47E4CBCE}</t>
  </si>
  <si>
    <t>{9401B0CB-84CC-4D12-913A-680542DF5DC0}</t>
  </si>
  <si>
    <t>{22393E69-015F-4BDF-BD06-5A156BD11059}</t>
  </si>
  <si>
    <t>{4562FA97-931A-4051-8F10-B5C71C31B48E}</t>
  </si>
  <si>
    <t>{186D6C8D-A304-4695-988D-535CB9391837}</t>
  </si>
  <si>
    <t>{3E05EDF2-A0C6-424C-94C6-7AAA000728E7}</t>
  </si>
  <si>
    <t>{3DD8A5E9-1FE7-452A-A076-DA141F46909F}</t>
  </si>
  <si>
    <t>{FF44E6AA-937D-4E4D-9F21-F736263C2409}</t>
  </si>
  <si>
    <t>{2F32D3E6-4373-446D-B9A4-D9F62EACD776}</t>
  </si>
  <si>
    <t>{15F28CD5-29FC-41AB-B6EE-7B97A3934F57}</t>
  </si>
  <si>
    <t>{55C1BF91-3AB5-432F-929C-9C6BD9A88100}</t>
  </si>
  <si>
    <t>{F7EDCE0B-CFE9-44A3-A6F7-34A37D601ED3}</t>
  </si>
  <si>
    <t>M02-062-2</t>
  </si>
  <si>
    <t>{37D5B56A-F3A1-416D-9436-52F0B088E6E9}</t>
  </si>
  <si>
    <t>{2D40C1DA-4E3C-4822-B12B-3FAB97EDB0F9}</t>
  </si>
  <si>
    <t>{53D55A2A-76DD-495F-B063-E5685D031243}</t>
  </si>
  <si>
    <t>{BB8228F2-D281-42A7-8FC6-8560FBED83F9}</t>
  </si>
  <si>
    <t>{987DD165-99DC-4B75-BCE9-1E2E451E768F}</t>
  </si>
  <si>
    <t>{8FC98E5D-A511-4CF5-986F-338115028DC4}</t>
  </si>
  <si>
    <t>{BE247B71-BC4C-42D3-983F-F0C8484C45FF}</t>
  </si>
  <si>
    <t>{04CF1314-4250-43EF-A304-0C84D6A83637}</t>
  </si>
  <si>
    <t>{E4A8B13D-2291-4B1B-9B4A-6EE7324FC47A}</t>
  </si>
  <si>
    <t>{F70FAAD0-061C-483E-8C1B-57553FFAF74E}</t>
  </si>
  <si>
    <t>{FAEB5E78-499D-4718-9746-0E13019D9A4F}</t>
  </si>
  <si>
    <t>{A36CE96F-FE33-411F-968A-7651EBB0061E}</t>
  </si>
  <si>
    <t>{1CCDFBA1-848C-4B62-AACA-C746335BD373}</t>
  </si>
  <si>
    <t>{F982B4D0-5D1A-4167-A647-B6BED3FA3FED}</t>
  </si>
  <si>
    <t>{3DA54DCE-0DC4-459A-9060-8F8F745F11CC}</t>
  </si>
  <si>
    <t>{13D27F47-5AC2-41B1-9A86-6A0AA364453F}</t>
  </si>
  <si>
    <t>{08791FC3-5E09-4072-8DC9-F045AF1E855D}</t>
  </si>
  <si>
    <t>{1901485F-D94F-4E4E-B6B5-E1C690BAD9B7}</t>
  </si>
  <si>
    <t>{7E77F452-AD2A-4065-B321-4A9967E98051}</t>
  </si>
  <si>
    <t>{E06E4770-329E-447A-A672-083265294B32}</t>
  </si>
  <si>
    <t>{6C78CC06-084A-4161-958C-888673007599}</t>
  </si>
  <si>
    <t>{AF5C870A-0A23-4A0F-A291-23D17B115936}</t>
  </si>
  <si>
    <t>{C87DAD14-80A3-44E0-9F6D-23CB8F67D405}</t>
  </si>
  <si>
    <t>{2E686CB3-1B4A-4809-9C10-2B4B1C6DB806}</t>
  </si>
  <si>
    <t>{B6811DA4-48C4-4DAB-AD59-4347024BF91B}</t>
  </si>
  <si>
    <t>Jon.Lewengrub</t>
  </si>
  <si>
    <t>{F28BBD82-F723-4D5A-92F2-A8B9D5ECE412}</t>
  </si>
  <si>
    <t>{D3F942FE-71BB-4DCE-B572-3E652CE623AB}</t>
  </si>
  <si>
    <t>{F262B91F-8F99-422C-B433-E96791E3479F}</t>
  </si>
  <si>
    <t>{3879FFCF-2A0C-4C0C-B5FD-38BE320A173C}</t>
  </si>
  <si>
    <t>{C6A0B773-2D11-4303-B439-4CDBC98449B9}</t>
  </si>
  <si>
    <t>{B67D5A37-1DDB-4C83-9388-E1F83337ACB4}</t>
  </si>
  <si>
    <t>{8A7FAA6A-4553-4FE2-984A-43471CE88183}</t>
  </si>
  <si>
    <t>{0189C473-B20C-418E-BFE8-D9710627AF46}</t>
  </si>
  <si>
    <t>{3C8AA69F-73A0-49CC-ADA8-8DB0D249B2BE}</t>
  </si>
  <si>
    <t>{732C0345-0529-4322-8261-27B07DC1E54A}</t>
  </si>
  <si>
    <t>{DB7EE3BC-C18A-4548-A83C-8E2C7CB96131}</t>
  </si>
  <si>
    <t>{6103F837-5620-433F-82F3-5AB7522DEA48}</t>
  </si>
  <si>
    <t>{B07D4591-CDEE-4CD7-9C0A-23C78FE459D0}</t>
  </si>
  <si>
    <t>{9F9300D9-A306-4F87-80F9-3E1532A3EA00}</t>
  </si>
  <si>
    <t>{BBF35E5D-B1BB-4FB3-9955-8885FAB1F55F}</t>
  </si>
  <si>
    <t>{AA5818A0-4A57-4FE1-9053-26540E976299}</t>
  </si>
  <si>
    <t>{014438F0-1485-4D40-BCA7-3480A02E80AD}</t>
  </si>
  <si>
    <t>{07CEBDC4-DC40-4BF7-9850-BE7345E48904}</t>
  </si>
  <si>
    <t>{208E8508-B2D3-453A-8956-61E05F1E26D8}</t>
  </si>
  <si>
    <t>{4877EFF3-5A58-4607-BE29-ECDB50D101CB}</t>
  </si>
  <si>
    <t>Dominant Jurisdiction</t>
  </si>
  <si>
    <t>J01-10004-1</t>
  </si>
  <si>
    <t>M02-085-2</t>
  </si>
  <si>
    <t>Per_SJC</t>
  </si>
  <si>
    <t>DRAFT - 8/16/2016</t>
  </si>
  <si>
    <t>San Juan Capistrano</t>
  </si>
  <si>
    <t>Sumproduct lookup</t>
  </si>
  <si>
    <t>Number of Jurisdictions &gt; 10%</t>
  </si>
  <si>
    <t>NA</t>
  </si>
  <si>
    <t>Dominant Tributary Jurisdiction</t>
  </si>
  <si>
    <t>J01-9046-2</t>
  </si>
  <si>
    <t>J03-9234-6</t>
  </si>
  <si>
    <t>M02-015-1</t>
  </si>
  <si>
    <t>Aug- 3 - Aug-17, 13 days</t>
  </si>
  <si>
    <t>Jul-29 - Aug-12, 13 days</t>
  </si>
  <si>
    <t>Aug- 3 - Aug-17, 14 days</t>
  </si>
  <si>
    <t>Jul- 1 - Jul-14, 12 days</t>
  </si>
  <si>
    <t>Jul- 1 - Jul- 7, 6 days</t>
  </si>
  <si>
    <t>Jul-19 - Aug- 2, 13 days</t>
  </si>
  <si>
    <t>Jul-29 - Aug-15, 16 days</t>
  </si>
  <si>
    <t>Jul-15 - Jul-28, 12 days</t>
  </si>
  <si>
    <t>Jul-15 - Jul-29, 13 days</t>
  </si>
  <si>
    <t>Ratio of Median flow from detailed monitoring divided by average discharge from transitional monitoring</t>
  </si>
  <si>
    <t>A</t>
  </si>
  <si>
    <t>All outfalls where there is both an estimate of flow from transiitonal monitoring and results from detailed flow monitoring (n=44)</t>
  </si>
  <si>
    <t>Count of Best Est Median Flow2</t>
  </si>
  <si>
    <t>Attachment H-1</t>
  </si>
  <si>
    <t>(All)</t>
  </si>
  <si>
    <t xml:space="preserve">   </t>
  </si>
  <si>
    <t>L03-708-11 (L03P05)</t>
  </si>
  <si>
    <t>K01-12058-1 (K01P08)</t>
  </si>
  <si>
    <t>K01-12058-2 (K01P09)</t>
  </si>
  <si>
    <t>L01-724-4 (L01P03)</t>
  </si>
  <si>
    <t>L02-246-1 (L11P01)</t>
  </si>
  <si>
    <t>L03-662-3 (L03P16)</t>
  </si>
  <si>
    <t>L02-166-2 (L02P25)</t>
  </si>
  <si>
    <t>M02-085-1 (M02P06)</t>
  </si>
  <si>
    <t>L02-374-1 (L02P50)</t>
  </si>
  <si>
    <t>M01-042-1 (M01S01)</t>
  </si>
  <si>
    <t>K01-12126-1 (K01S01)</t>
  </si>
  <si>
    <t>K01-12032-2 (K01P11)</t>
  </si>
  <si>
    <t>L03-691-1 (L03P09)</t>
  </si>
  <si>
    <t>L02-166-3 (L02P26)</t>
  </si>
  <si>
    <t>M02-052-2</t>
  </si>
  <si>
    <t xml:space="preserve">L04-136-1u (L04P07)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</si>
</sst>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0" fontId="16" fillId="33" borderId="10" xfId="0" applyFont="1" applyFill="1" applyBorder="1"/>
    <xf numFmtId="0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166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0" fillId="34" borderId="0" xfId="0" applyFill="1" applyAlignment="1">
      <alignment horizontal="center" wrapText="1"/>
    </xf>
    <xf numFmtId="0" fontId="0" fillId="34" borderId="0" xfId="0" applyFill="1" applyAlignment="1">
      <alignment horizontal="center"/>
    </xf>
    <xf numFmtId="165" fontId="0" fillId="34" borderId="0" xfId="0" applyNumberFormat="1" applyFill="1" applyAlignment="1">
      <alignment horizontal="center"/>
    </xf>
    <xf numFmtId="1" fontId="0" fillId="34" borderId="0" xfId="0" applyNumberFormat="1" applyFill="1" applyAlignment="1">
      <alignment horizontal="center"/>
    </xf>
    <xf numFmtId="0" fontId="0" fillId="35" borderId="0" xfId="0" applyFill="1" applyAlignment="1">
      <alignment wrapText="1"/>
    </xf>
    <xf numFmtId="0" fontId="0" fillId="35" borderId="0" xfId="0" applyFill="1"/>
    <xf numFmtId="0" fontId="18" fillId="36" borderId="11" xfId="0" applyFont="1" applyFill="1" applyBorder="1"/>
    <xf numFmtId="0" fontId="0" fillId="36" borderId="11" xfId="0" applyFill="1" applyBorder="1"/>
    <xf numFmtId="0" fontId="0" fillId="37" borderId="0" xfId="0" applyFill="1" applyAlignment="1">
      <alignment horizontal="center" wrapText="1"/>
    </xf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 wrapText="1"/>
    </xf>
    <xf numFmtId="1" fontId="0" fillId="38" borderId="0" xfId="0" applyNumberFormat="1" applyFill="1" applyAlignment="1">
      <alignment horizontal="center"/>
    </xf>
    <xf numFmtId="0" fontId="0" fillId="38" borderId="0" xfId="0" applyFill="1" applyAlignment="1">
      <alignment horizontal="center"/>
    </xf>
    <xf numFmtId="166" fontId="0" fillId="37" borderId="0" xfId="0" applyNumberFormat="1" applyFill="1" applyAlignment="1">
      <alignment horizontal="center"/>
    </xf>
    <xf numFmtId="0" fontId="0" fillId="39" borderId="0" xfId="0" applyFill="1"/>
    <xf numFmtId="0" fontId="0" fillId="40" borderId="0" xfId="0" applyFill="1"/>
    <xf numFmtId="0" fontId="0" fillId="0" borderId="12" xfId="0" applyBorder="1"/>
    <xf numFmtId="1" fontId="0" fillId="0" borderId="12" xfId="0" applyNumberFormat="1" applyBorder="1" applyAlignment="1">
      <alignment horizontal="center"/>
    </xf>
    <xf numFmtId="0" fontId="18" fillId="0" borderId="12" xfId="0" applyFont="1" applyBorder="1"/>
    <xf numFmtId="0" fontId="18" fillId="0" borderId="0" xfId="0" applyFont="1"/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6" fillId="35" borderId="12" xfId="0" applyFont="1" applyFill="1" applyBorder="1" applyAlignment="1">
      <alignment horizontal="center" vertical="center" wrapText="1"/>
    </xf>
    <xf numFmtId="0" fontId="16" fillId="40" borderId="12" xfId="0" applyFont="1" applyFill="1" applyBorder="1" applyAlignment="1">
      <alignment horizontal="center" vertical="center" wrapText="1"/>
    </xf>
    <xf numFmtId="0" fontId="16" fillId="34" borderId="12" xfId="0" applyFont="1" applyFill="1" applyBorder="1" applyAlignment="1">
      <alignment horizontal="center" vertical="center" wrapText="1"/>
    </xf>
    <xf numFmtId="0" fontId="16" fillId="37" borderId="12" xfId="0" applyFont="1" applyFill="1" applyBorder="1" applyAlignment="1">
      <alignment horizontal="center" vertical="center" wrapText="1"/>
    </xf>
    <xf numFmtId="0" fontId="16" fillId="38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64" fontId="0" fillId="40" borderId="12" xfId="0" applyNumberFormat="1" applyFill="1" applyBorder="1" applyAlignment="1">
      <alignment horizontal="center" vertical="center"/>
    </xf>
    <xf numFmtId="0" fontId="0" fillId="40" borderId="12" xfId="0" applyFill="1" applyBorder="1" applyAlignment="1">
      <alignment horizontal="center" vertical="center"/>
    </xf>
    <xf numFmtId="0" fontId="0" fillId="39" borderId="12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1" fontId="0" fillId="34" borderId="12" xfId="0" applyNumberFormat="1" applyFill="1" applyBorder="1" applyAlignment="1">
      <alignment horizontal="center" vertical="center"/>
    </xf>
    <xf numFmtId="165" fontId="0" fillId="34" borderId="12" xfId="0" applyNumberFormat="1" applyFill="1" applyBorder="1" applyAlignment="1">
      <alignment horizontal="center" vertical="center"/>
    </xf>
    <xf numFmtId="166" fontId="0" fillId="37" borderId="12" xfId="0" applyNumberFormat="1" applyFill="1" applyBorder="1" applyAlignment="1">
      <alignment horizontal="center" vertical="center"/>
    </xf>
    <xf numFmtId="1" fontId="0" fillId="38" borderId="12" xfId="0" applyNumberFormat="1" applyFill="1" applyBorder="1" applyAlignment="1">
      <alignment horizontal="center" vertical="center"/>
    </xf>
    <xf numFmtId="0" fontId="18" fillId="0" borderId="12" xfId="0" applyFont="1" applyBorder="1" applyAlignment="1"/>
    <xf numFmtId="0" fontId="16" fillId="0" borderId="12" xfId="0" applyFont="1" applyBorder="1" applyAlignment="1">
      <alignment horizontal="center" vertical="center" wrapText="1"/>
    </xf>
    <xf numFmtId="166" fontId="0" fillId="35" borderId="12" xfId="0" applyNumberFormat="1" applyFill="1" applyBorder="1" applyAlignment="1">
      <alignment horizontal="center" vertical="center"/>
    </xf>
    <xf numFmtId="2" fontId="0" fillId="39" borderId="12" xfId="0" applyNumberFormat="1" applyFill="1" applyBorder="1" applyAlignment="1">
      <alignment horizontal="center" vertical="center"/>
    </xf>
    <xf numFmtId="0" fontId="16" fillId="39" borderId="12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9" fillId="0" borderId="0" xfId="0" applyFont="1"/>
    <xf numFmtId="0" fontId="0" fillId="0" borderId="12" xfId="0" applyFont="1" applyBorder="1" applyAlignment="1">
      <alignment horizontal="left"/>
    </xf>
    <xf numFmtId="0" fontId="0" fillId="0" borderId="12" xfId="0" applyFont="1" applyFill="1" applyBorder="1" applyAlignment="1">
      <alignment horizontal="left"/>
    </xf>
    <xf numFmtId="0" fontId="16" fillId="0" borderId="12" xfId="0" applyFont="1" applyBorder="1" applyAlignment="1">
      <alignment horizontal="center" wrapText="1"/>
    </xf>
    <xf numFmtId="2" fontId="0" fillId="0" borderId="12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12" xfId="0" applyBorder="1" applyAlignment="1">
      <alignment wrapText="1"/>
    </xf>
    <xf numFmtId="9" fontId="0" fillId="0" borderId="12" xfId="42" applyFont="1" applyBorder="1" applyAlignment="1">
      <alignment horizontal="center"/>
    </xf>
    <xf numFmtId="0" fontId="0" fillId="0" borderId="12" xfId="0" applyBorder="1" applyAlignment="1">
      <alignment vertical="center"/>
    </xf>
    <xf numFmtId="164" fontId="0" fillId="0" borderId="12" xfId="0" applyNumberFormat="1" applyBorder="1" applyAlignment="1">
      <alignment horizontal="center"/>
    </xf>
    <xf numFmtId="0" fontId="20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18" fillId="0" borderId="13" xfId="0" applyFont="1" applyBorder="1" applyAlignment="1">
      <alignment horizontal="center"/>
    </xf>
    <xf numFmtId="165" fontId="0" fillId="0" borderId="0" xfId="0" applyNumberFormat="1"/>
    <xf numFmtId="9" fontId="0" fillId="0" borderId="0" xfId="42" applyFont="1"/>
    <xf numFmtId="0" fontId="0" fillId="0" borderId="12" xfId="0" applyBorder="1" applyAlignment="1">
      <alignment horizontal="center" wrapText="1"/>
    </xf>
    <xf numFmtId="0" fontId="16" fillId="0" borderId="15" xfId="0" applyFont="1" applyBorder="1" applyAlignment="1">
      <alignment horizontal="center" vertical="center" wrapText="1"/>
    </xf>
    <xf numFmtId="22" fontId="0" fillId="0" borderId="12" xfId="0" applyNumberFormat="1" applyBorder="1" applyAlignment="1">
      <alignment horizontal="center"/>
    </xf>
    <xf numFmtId="0" fontId="0" fillId="41" borderId="0" xfId="0" applyFill="1"/>
    <xf numFmtId="0" fontId="0" fillId="0" borderId="0" xfId="0" applyFill="1"/>
    <xf numFmtId="0" fontId="0" fillId="0" borderId="16" xfId="0" applyBorder="1" applyAlignment="1">
      <alignment horizontal="center"/>
    </xf>
    <xf numFmtId="22" fontId="0" fillId="0" borderId="16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41" borderId="0" xfId="0" applyNumberFormat="1" applyFill="1"/>
    <xf numFmtId="0" fontId="0" fillId="41" borderId="0" xfId="0" applyFill="1" applyAlignment="1">
      <alignment horizontal="left"/>
    </xf>
    <xf numFmtId="0" fontId="0" fillId="41" borderId="0" xfId="0" applyFill="1" applyAlignment="1">
      <alignment horizontal="right"/>
    </xf>
    <xf numFmtId="166" fontId="0" fillId="41" borderId="0" xfId="0" applyNumberFormat="1" applyFill="1"/>
    <xf numFmtId="0" fontId="18" fillId="0" borderId="13" xfId="0" applyFont="1" applyBorder="1" applyAlignment="1">
      <alignment horizontal="center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horizontal="center" vertical="center"/>
    </xf>
    <xf numFmtId="166" fontId="0" fillId="35" borderId="16" xfId="0" applyNumberFormat="1" applyFill="1" applyBorder="1" applyAlignment="1">
      <alignment horizontal="center" vertical="center"/>
    </xf>
    <xf numFmtId="164" fontId="0" fillId="40" borderId="16" xfId="0" applyNumberFormat="1" applyFill="1" applyBorder="1" applyAlignment="1">
      <alignment horizontal="center" vertical="center"/>
    </xf>
    <xf numFmtId="0" fontId="0" fillId="40" borderId="16" xfId="0" applyFill="1" applyBorder="1" applyAlignment="1">
      <alignment horizontal="center" vertical="center"/>
    </xf>
    <xf numFmtId="0" fontId="0" fillId="39" borderId="16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1" fontId="0" fillId="34" borderId="16" xfId="0" applyNumberFormat="1" applyFill="1" applyBorder="1" applyAlignment="1">
      <alignment horizontal="center" vertical="center"/>
    </xf>
    <xf numFmtId="165" fontId="0" fillId="34" borderId="16" xfId="0" applyNumberFormat="1" applyFill="1" applyBorder="1" applyAlignment="1">
      <alignment horizontal="center" vertical="center"/>
    </xf>
    <xf numFmtId="166" fontId="0" fillId="37" borderId="16" xfId="0" applyNumberFormat="1" applyFill="1" applyBorder="1" applyAlignment="1">
      <alignment horizontal="center" vertical="center"/>
    </xf>
    <xf numFmtId="1" fontId="0" fillId="38" borderId="16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66" fontId="0" fillId="35" borderId="0" xfId="0" applyNumberFormat="1" applyFill="1" applyBorder="1" applyAlignment="1">
      <alignment horizontal="center" vertical="center"/>
    </xf>
    <xf numFmtId="164" fontId="0" fillId="40" borderId="0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1" fontId="0" fillId="34" borderId="0" xfId="0" applyNumberFormat="1" applyFill="1" applyBorder="1" applyAlignment="1">
      <alignment horizontal="center" vertical="center"/>
    </xf>
    <xf numFmtId="165" fontId="0" fillId="34" borderId="0" xfId="0" applyNumberFormat="1" applyFill="1" applyBorder="1" applyAlignment="1">
      <alignment horizontal="center" vertical="center"/>
    </xf>
    <xf numFmtId="166" fontId="0" fillId="37" borderId="0" xfId="0" applyNumberFormat="1" applyFill="1" applyBorder="1" applyAlignment="1">
      <alignment horizontal="center" vertical="center"/>
    </xf>
    <xf numFmtId="1" fontId="0" fillId="38" borderId="0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5" borderId="0" xfId="0" applyFill="1" applyBorder="1"/>
    <xf numFmtId="0" fontId="0" fillId="40" borderId="0" xfId="0" applyFill="1" applyBorder="1"/>
    <xf numFmtId="0" fontId="0" fillId="39" borderId="0" xfId="0" applyFill="1" applyBorder="1"/>
    <xf numFmtId="0" fontId="0" fillId="34" borderId="0" xfId="0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0" fillId="38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41" borderId="0" xfId="0" applyFill="1" applyAlignment="1">
      <alignment wrapText="1"/>
    </xf>
    <xf numFmtId="2" fontId="0" fillId="41" borderId="0" xfId="42" applyNumberFormat="1" applyFont="1" applyFill="1" applyAlignment="1">
      <alignment horizontal="center"/>
    </xf>
    <xf numFmtId="166" fontId="0" fillId="0" borderId="12" xfId="0" applyNumberFormat="1" applyBorder="1" applyAlignment="1">
      <alignment horizontal="center" wrapText="1"/>
    </xf>
    <xf numFmtId="0" fontId="21" fillId="0" borderId="0" xfId="0" applyFont="1"/>
    <xf numFmtId="0" fontId="17" fillId="0" borderId="0" xfId="0" applyFont="1" applyAlignment="1">
      <alignment horizontal="center"/>
    </xf>
    <xf numFmtId="0" fontId="0" fillId="0" borderId="18" xfId="0" applyBorder="1"/>
    <xf numFmtId="0" fontId="0" fillId="41" borderId="0" xfId="0" applyFill="1" applyAlignment="1">
      <alignment horizontal="center"/>
    </xf>
    <xf numFmtId="1" fontId="0" fillId="41" borderId="0" xfId="0" applyNumberFormat="1" applyFill="1" applyAlignment="1">
      <alignment horizontal="center"/>
    </xf>
    <xf numFmtId="165" fontId="0" fillId="41" borderId="0" xfId="0" applyNumberFormat="1" applyFill="1" applyAlignment="1">
      <alignment horizontal="center"/>
    </xf>
    <xf numFmtId="166" fontId="0" fillId="41" borderId="0" xfId="0" applyNumberForma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40" borderId="12" xfId="0" applyFont="1" applyFill="1" applyBorder="1" applyAlignment="1">
      <alignment horizontal="center"/>
    </xf>
    <xf numFmtId="0" fontId="18" fillId="39" borderId="12" xfId="0" applyFont="1" applyFill="1" applyBorder="1" applyAlignment="1">
      <alignment horizontal="center"/>
    </xf>
    <xf numFmtId="0" fontId="18" fillId="34" borderId="12" xfId="0" applyFont="1" applyFill="1" applyBorder="1" applyAlignment="1">
      <alignment horizontal="center"/>
    </xf>
    <xf numFmtId="0" fontId="18" fillId="37" borderId="12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'Scoring and Weighting'!$D$74:$D$83</c:f>
              <c:strCache>
                <c:ptCount val="10"/>
                <c:pt idx="0">
                  <c:v>0 - 10</c:v>
                </c:pt>
                <c:pt idx="1">
                  <c:v>10 - 20</c:v>
                </c:pt>
                <c:pt idx="2">
                  <c:v>20 - 30</c:v>
                </c:pt>
                <c:pt idx="3">
                  <c:v>30 - 40</c:v>
                </c:pt>
                <c:pt idx="4">
                  <c:v>40 - 50</c:v>
                </c:pt>
                <c:pt idx="5">
                  <c:v>50 - 60</c:v>
                </c:pt>
                <c:pt idx="6">
                  <c:v>60 - 70</c:v>
                </c:pt>
                <c:pt idx="7">
                  <c:v>70 - 80</c:v>
                </c:pt>
                <c:pt idx="8">
                  <c:v>80 - 90</c:v>
                </c:pt>
                <c:pt idx="9">
                  <c:v>90 - 100</c:v>
                </c:pt>
              </c:strCache>
            </c:strRef>
          </c:cat>
          <c:val>
            <c:numRef>
              <c:f>'Scoring and Weighting'!$E$74:$E$83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0-448F-8B47-720CF205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66880"/>
        <c:axId val="100832384"/>
      </c:barChart>
      <c:catAx>
        <c:axId val="14386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Composite</a:t>
                </a:r>
                <a:r>
                  <a:rPr lang="en-US" baseline="0"/>
                  <a:t> Score Bin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2384"/>
        <c:crosses val="autoZero"/>
        <c:auto val="1"/>
        <c:lblAlgn val="ctr"/>
        <c:lblOffset val="100"/>
        <c:noMultiLvlLbl val="0"/>
      </c:catAx>
      <c:valAx>
        <c:axId val="1008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Outfalls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Flow Reduction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'Scoring and Weighting'!$H$118:$H$123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'Scoring and Weighting'!$J$118:$J$123</c:f>
              <c:numCache>
                <c:formatCode>0.0</c:formatCode>
                <c:ptCount val="6"/>
                <c:pt idx="0">
                  <c:v>2.0609999999999999</c:v>
                </c:pt>
                <c:pt idx="1">
                  <c:v>1.75</c:v>
                </c:pt>
                <c:pt idx="2">
                  <c:v>1.4830000000000001</c:v>
                </c:pt>
                <c:pt idx="3" formatCode="General">
                  <c:v>0.372</c:v>
                </c:pt>
                <c:pt idx="4" formatCode="General">
                  <c:v>0</c:v>
                </c:pt>
                <c:pt idx="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6-43B4-9DF4-0B10E6548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43296"/>
        <c:axId val="101574144"/>
      </c:scatterChart>
      <c:scatterChart>
        <c:scatterStyle val="lineMarker"/>
        <c:varyColors val="0"/>
        <c:ser>
          <c:idx val="1"/>
          <c:order val="1"/>
          <c:tx>
            <c:v>Percent Reduction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'Scoring and Weighting'!$H$118:$H$123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'Scoring and Weighting'!$K$118:$K$123</c:f>
              <c:numCache>
                <c:formatCode>0%</c:formatCode>
                <c:ptCount val="6"/>
                <c:pt idx="0">
                  <c:v>0.79606025492468124</c:v>
                </c:pt>
                <c:pt idx="1">
                  <c:v>0.67593665507918099</c:v>
                </c:pt>
                <c:pt idx="2">
                  <c:v>0.5728080339899575</c:v>
                </c:pt>
                <c:pt idx="3">
                  <c:v>0.14368482039397448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C6-43B4-9DF4-0B10E6548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33888"/>
        <c:axId val="101576064"/>
      </c:scatterChart>
      <c:valAx>
        <c:axId val="10154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Outfalls Implemented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4144"/>
        <c:crosses val="autoZero"/>
        <c:crossBetween val="midCat"/>
      </c:valAx>
      <c:valAx>
        <c:axId val="101574144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Reduced or Managed</a:t>
                </a:r>
                <a:r>
                  <a:rPr lang="en-US" baseline="0"/>
                  <a:t> through Exception</a:t>
                </a:r>
                <a:r>
                  <a:rPr lang="en-US"/>
                  <a:t>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43296"/>
        <c:crosses val="autoZero"/>
        <c:crossBetween val="midCat"/>
      </c:valAx>
      <c:valAx>
        <c:axId val="101576064"/>
        <c:scaling>
          <c:orientation val="minMax"/>
          <c:max val="0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Flow Reduced or Managed Through Exception (% of 2015 baseline)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3888"/>
        <c:crosses val="max"/>
        <c:crossBetween val="midCat"/>
      </c:valAx>
      <c:valAx>
        <c:axId val="10173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57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108855</xdr:colOff>
      <xdr:row>85</xdr:row>
      <xdr:rowOff>30554</xdr:rowOff>
    </xdr:from>
    <xdr:to>
      <xdr:col>6</xdr:col>
      <xdr:colOff>658091</xdr:colOff>
      <xdr:row>110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158750</xdr:colOff>
      <xdr:row>102</xdr:row>
      <xdr:rowOff>176211</xdr:rowOff>
    </xdr:from>
    <xdr:to>
      <xdr:col>30</xdr:col>
      <xdr:colOff>412750</xdr:colOff>
      <xdr:row>126</xdr:row>
      <xdr:rowOff>174624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/Orange_County/Projects/Orange%20County%20NPDES%20Support/SOC%20WQIP%20Support/B3%20Planning%20Support/DWF%20track/V2_Updated%20Prioritization%20and%20Load%20Reductions/Table%20of%20Jurisidictions%20by%20Outfall_8-16-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SMasterTable"/>
      <sheetName val="Sheet1"/>
    </sheetNames>
    <sheetDataSet>
      <sheetData sheetId="0"/>
      <sheetData sheetId="1">
        <row r="6">
          <cell r="C6">
            <v>1</v>
          </cell>
          <cell r="D6" t="str">
            <v>Aliso Viejo</v>
          </cell>
        </row>
        <row r="7">
          <cell r="C7">
            <v>2</v>
          </cell>
          <cell r="D7" t="str">
            <v>Dana Point</v>
          </cell>
        </row>
        <row r="8">
          <cell r="C8">
            <v>3</v>
          </cell>
          <cell r="D8" t="str">
            <v>Laguna Beach</v>
          </cell>
        </row>
        <row r="9">
          <cell r="C9">
            <v>4</v>
          </cell>
          <cell r="D9" t="str">
            <v>Laguna Hills</v>
          </cell>
        </row>
        <row r="10">
          <cell r="C10">
            <v>5</v>
          </cell>
          <cell r="D10" t="str">
            <v>Laguna Niguel</v>
          </cell>
        </row>
        <row r="11">
          <cell r="C11">
            <v>6</v>
          </cell>
          <cell r="D11" t="str">
            <v>Laguna Woods</v>
          </cell>
        </row>
        <row r="12">
          <cell r="C12">
            <v>7</v>
          </cell>
          <cell r="D12" t="str">
            <v>Lake Forest</v>
          </cell>
        </row>
        <row r="13">
          <cell r="C13">
            <v>8</v>
          </cell>
          <cell r="D13" t="str">
            <v>Mission Viejo</v>
          </cell>
        </row>
        <row r="14">
          <cell r="C14">
            <v>9</v>
          </cell>
          <cell r="D14" t="str">
            <v>Orange County</v>
          </cell>
        </row>
        <row r="15">
          <cell r="C15">
            <v>10</v>
          </cell>
          <cell r="D15" t="str">
            <v>Rancho Santa Margarita</v>
          </cell>
        </row>
        <row r="16">
          <cell r="C16">
            <v>11</v>
          </cell>
          <cell r="D16" t="str">
            <v>San Clemente</v>
          </cell>
        </row>
        <row r="17">
          <cell r="C17">
            <v>12</v>
          </cell>
          <cell r="D17" t="str">
            <v>San Juan Capistrano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la Talebi" refreshedDate="42632.453482407407" createdVersion="6" refreshedVersion="6" minRefreshableVersion="3" recordCount="119" xr:uid="{00000000-000A-0000-FFFF-FFFF00000000}">
  <cacheSource type="worksheet">
    <worksheetSource ref="A1:BU24" sheet="MasterGISTable with Scoring"/>
  </cacheSource>
  <cacheFields count="73">
    <cacheField name="FACILITYID" numFmtId="0">
      <sharedItems/>
    </cacheField>
    <cacheField name="LOCDESC" numFmtId="0">
      <sharedItems containsBlank="1"/>
    </cacheField>
    <cacheField name="SIZE1" numFmtId="0">
      <sharedItems containsString="0" containsBlank="1" containsNumber="1" containsInteger="1" minValue="24" maxValue="192"/>
    </cacheField>
    <cacheField name="SIZE2" numFmtId="0">
      <sharedItems containsString="0" containsBlank="1" containsNumber="1" minValue="3" maxValue="78"/>
    </cacheField>
    <cacheField name="SIZE3" numFmtId="0">
      <sharedItems containsString="0" containsBlank="1" containsNumber="1" containsInteger="1" minValue="5" maxValue="120"/>
    </cacheField>
    <cacheField name="CatchID" numFmtId="0">
      <sharedItems containsSemiMixedTypes="0" containsString="0" containsNumber="1" containsInteger="1" minValue="15" maxValue="12177"/>
    </cacheField>
    <cacheField name="DrainID" numFmtId="0">
      <sharedItems/>
    </cacheField>
    <cacheField name="INSPECTED" numFmtId="0">
      <sharedItems containsSemiMixedTypes="0" containsString="0" containsNumber="1" containsInteger="1" minValue="1" maxValue="1"/>
    </cacheField>
    <cacheField name="FACTYPE" numFmtId="0">
      <sharedItems containsSemiMixedTypes="0" containsString="0" containsNumber="1" containsInteger="1" minValue="0" maxValue="2"/>
    </cacheField>
    <cacheField name="JURISDICTI" numFmtId="0">
      <sharedItems/>
    </cacheField>
    <cacheField name="MANAGEMENT" numFmtId="0">
      <sharedItems/>
    </cacheField>
    <cacheField name="Watershed" numFmtId="0">
      <sharedItems count="6">
        <s v="Dana Point"/>
        <s v="San Juan Creek"/>
        <s v="Aliso"/>
        <s v="San Clemente"/>
        <s v="Laguna Coast"/>
        <e v="#N/A" u="1"/>
      </sharedItems>
    </cacheField>
    <cacheField name="Shape_Length" numFmtId="0">
      <sharedItems containsString="0" containsBlank="1" containsNumber="1" minValue="3279.87662228108" maxValue="115728.732090433"/>
    </cacheField>
    <cacheField name="Shape_Area" numFmtId="0">
      <sharedItems containsString="0" containsBlank="1" containsNumber="1" minValue="529212.09289093001" maxValue="163657395.21656099"/>
    </cacheField>
    <cacheField name="POLY_AREA" numFmtId="0">
      <sharedItems containsString="0" containsBlank="1" containsNumber="1" minValue="12.1490758011319" maxValue="3757.0685300110699"/>
    </cacheField>
    <cacheField name="Per_Developed" numFmtId="0">
      <sharedItems containsString="0" containsBlank="1" containsNumber="1" containsInteger="1" minValue="0" maxValue="100"/>
    </cacheField>
    <cacheField name="Per_Residential" numFmtId="0">
      <sharedItems containsString="0" containsBlank="1" containsNumber="1" containsInteger="1" minValue="0" maxValue="100"/>
    </cacheField>
    <cacheField name="Per_Aliso" numFmtId="0">
      <sharedItems containsString="0" containsBlank="1" containsNumber="1" containsInteger="1" minValue="0" maxValue="100"/>
    </cacheField>
    <cacheField name="Per_Dana" numFmtId="0">
      <sharedItems containsString="0" containsBlank="1" containsNumber="1" containsInteger="1" minValue="0" maxValue="100"/>
    </cacheField>
    <cacheField name="Per_LB" numFmtId="0">
      <sharedItems containsString="0" containsBlank="1" containsNumber="1" containsInteger="1" minValue="0" maxValue="100"/>
    </cacheField>
    <cacheField name="Per_LH" numFmtId="0">
      <sharedItems containsString="0" containsBlank="1" containsNumber="1" containsInteger="1" minValue="0" maxValue="99"/>
    </cacheField>
    <cacheField name="Per_LN" numFmtId="0">
      <sharedItems containsString="0" containsBlank="1" containsNumber="1" containsInteger="1" minValue="0" maxValue="100"/>
    </cacheField>
    <cacheField name="Per_LW" numFmtId="0">
      <sharedItems containsString="0" containsBlank="1" containsNumber="1" containsInteger="1" minValue="0" maxValue="100"/>
    </cacheField>
    <cacheField name="Per_LF" numFmtId="0">
      <sharedItems containsString="0" containsBlank="1" containsNumber="1" containsInteger="1" minValue="0" maxValue="100"/>
    </cacheField>
    <cacheField name="Per_MV" numFmtId="0">
      <sharedItems containsString="0" containsBlank="1" containsNumber="1" containsInteger="1" minValue="0" maxValue="100"/>
    </cacheField>
    <cacheField name="Per_OC" numFmtId="0">
      <sharedItems containsString="0" containsBlank="1" containsNumber="1" containsInteger="1" minValue="0" maxValue="100"/>
    </cacheField>
    <cacheField name="Per_RSM" numFmtId="0">
      <sharedItems containsString="0" containsBlank="1" containsNumber="1" containsInteger="1" minValue="0" maxValue="100"/>
    </cacheField>
    <cacheField name="Per_SC" numFmtId="0">
      <sharedItems containsString="0" containsBlank="1" containsNumber="1" containsInteger="1" minValue="0" maxValue="100"/>
    </cacheField>
    <cacheField name="Per_SJC" numFmtId="0">
      <sharedItems containsString="0" containsBlank="1" containsNumber="1" containsInteger="1" minValue="0" maxValue="100"/>
    </cacheField>
    <cacheField name="insp_flow_obs" numFmtId="0">
      <sharedItems containsString="0" containsBlank="1" containsNumber="1" containsInteger="1" minValue="1" maxValue="5"/>
    </cacheField>
    <cacheField name="insp_avg_flow_width" numFmtId="0">
      <sharedItems containsString="0" containsBlank="1" containsNumber="1" minValue="0.2" maxValue="5.5666666666666602"/>
    </cacheField>
    <cacheField name="insp_avg_flow_depth" numFmtId="0">
      <sharedItems containsString="0" containsBlank="1" containsNumber="1" minValue="1E-3" maxValue="0.78500000000000003"/>
    </cacheField>
    <cacheField name="insp_avg_flow_vel" numFmtId="0">
      <sharedItems containsString="0" containsBlank="1" containsNumber="1" minValue="0.02" maxValue="6"/>
    </cacheField>
    <cacheField name="insp_min_dis" numFmtId="0">
      <sharedItems containsString="0" containsBlank="1" containsNumber="1" minValue="2.55E-5" maxValue="0.58140000000000003"/>
    </cacheField>
    <cacheField name="insp_max_dis" numFmtId="0">
      <sharedItems containsString="0" containsBlank="1" containsNumber="1" minValue="2.55E-5" maxValue="6.4016736401673597"/>
    </cacheField>
    <cacheField name="insp_avg_dis" numFmtId="0">
      <sharedItems containsString="0" containsBlank="1" containsNumber="1" minValue="2.55E-5" maxValue="2.3561999999999999"/>
    </cacheField>
    <cacheField name="insp_conn" numFmtId="0">
      <sharedItems containsBlank="1"/>
    </cacheField>
    <cacheField name="insp_upstream" numFmtId="0">
      <sharedItems containsBlank="1"/>
    </cacheField>
    <cacheField name="downstream" numFmtId="0">
      <sharedItems containsBlank="1"/>
    </cacheField>
    <cacheField name="insp_contribution" numFmtId="0">
      <sharedItems containsBlank="1" count="4">
        <m/>
        <s v="Minor (10% - 50%)"/>
        <s v="Major (&gt;50%)"/>
        <s v="Small (&lt;10%)"/>
      </sharedItems>
    </cacheField>
    <cacheField name="AnalysisPeriod" numFmtId="0">
      <sharedItems containsBlank="1"/>
    </cacheField>
    <cacheField name="AvgFlow" numFmtId="0">
      <sharedItems containsString="0" containsBlank="1" containsNumber="1" minValue="2.7935999999999998E-4" maxValue="0.69905064299999997"/>
    </cacheField>
    <cacheField name="MedianFlow" numFmtId="0">
      <sharedItems containsString="0" containsBlank="1" containsNumber="1" minValue="0" maxValue="0.68500000000000005"/>
    </cacheField>
    <cacheField name="Avg_Med_Flow_diff_percnt" numFmtId="0">
      <sharedItems containsString="0" containsBlank="1" containsNumber="1" minValue="-0.237610298" maxValue="1"/>
    </cacheField>
    <cacheField name="MinFlow" numFmtId="0">
      <sharedItems containsString="0" containsBlank="1" containsNumber="1" minValue="0" maxValue="0.38"/>
    </cacheField>
    <cacheField name="MaxFlow" numFmtId="0">
      <sharedItems containsString="0" containsBlank="1" containsNumber="1" minValue="8.9999999999999993E-3" maxValue="1.41"/>
    </cacheField>
    <cacheField name="MedDailyMax" numFmtId="0">
      <sharedItems containsString="0" containsBlank="1" containsNumber="1" minValue="2E-3" maxValue="0.92900000000000005"/>
    </cacheField>
    <cacheField name="MedDailyMin" numFmtId="0">
      <sharedItems containsString="0" containsBlank="1" containsNumber="1" minValue="0" maxValue="0.47499999999999998"/>
    </cacheField>
    <cacheField name="MaxDailyMin" numFmtId="0">
      <sharedItems containsString="0" containsBlank="1" containsNumber="1" minValue="0" maxValue="0.63900000000000001"/>
    </cacheField>
    <cacheField name="Ratio_MedDailyMax_to_Median" numFmtId="0">
      <sharedItems containsString="0" containsBlank="1" containsNumber="1" minValue="1.095238095" maxValue="37.75"/>
    </cacheField>
    <cacheField name="Ratio_MedDailyMin_to_Median" numFmtId="0">
      <sharedItems containsString="0" containsBlank="1" containsNumber="1" minValue="0" maxValue="0.92067307700000001"/>
    </cacheField>
    <cacheField name="Weekday_AvgFlow" numFmtId="0">
      <sharedItems containsString="0" containsBlank="1" containsNumber="1" minValue="2.8035100000000003E-4" maxValue="0.71724068699999999"/>
    </cacheField>
    <cacheField name="Weekday_MaxFlow" numFmtId="0">
      <sharedItems containsString="0" containsBlank="1" containsNumber="1" minValue="8.9999999999999993E-3" maxValue="1.41"/>
    </cacheField>
    <cacheField name="Weekday_MedianFlow" numFmtId="0">
      <sharedItems containsString="0" containsBlank="1" containsNumber="1" minValue="0" maxValue="0.7"/>
    </cacheField>
    <cacheField name="Weekday_MinFlow" numFmtId="0">
      <sharedItems containsString="0" containsBlank="1" containsNumber="1" minValue="0" maxValue="0.38700000000000001"/>
    </cacheField>
    <cacheField name="Weekend_AvgFlow" numFmtId="0">
      <sharedItems containsString="0" containsBlank="1" containsNumber="1" minValue="2.7691E-4" maxValue="0.65581770800000005"/>
    </cacheField>
    <cacheField name="Weekend_MaxFlow" numFmtId="0">
      <sharedItems containsString="0" containsBlank="1" containsNumber="1" minValue="6.0000000000000001E-3" maxValue="1.17"/>
    </cacheField>
    <cacheField name="Weekend_MedianFlow" numFmtId="0">
      <sharedItems containsString="0" containsBlank="1" containsNumber="1" minValue="0" maxValue="0.64900000000000002"/>
    </cacheField>
    <cacheField name="Weekend_MinFlow" numFmtId="0">
      <sharedItems containsString="0" containsBlank="1" containsNumber="1" minValue="0" maxValue="0.38"/>
    </cacheField>
    <cacheField name="Best Est Median Flow" numFmtId="0">
      <sharedItems containsSemiMixedTypes="0" containsString="0" containsNumber="1" minValue="0" maxValue="0.68500000000000005"/>
    </cacheField>
    <cacheField name="Developed Ac" numFmtId="0">
      <sharedItems containsSemiMixedTypes="0" containsString="0" containsNumber="1" minValue="0" maxValue="1765.822209105203"/>
    </cacheField>
    <cacheField name="Contribution Score" numFmtId="0">
      <sharedItems containsSemiMixedTypes="0" containsString="0" containsNumber="1" containsInteger="1" minValue="60" maxValue="100"/>
    </cacheField>
    <cacheField name="Flow Magnitude Score" numFmtId="0">
      <sharedItems containsSemiMixedTypes="0" containsString="0" containsNumber="1" containsInteger="1" minValue="30" maxValue="100"/>
    </cacheField>
    <cacheField name="Baseflow Score" numFmtId="1">
      <sharedItems containsSemiMixedTypes="0" containsString="0" containsNumber="1" minValue="0" maxValue="92.067307700000001"/>
    </cacheField>
    <cacheField name="Developed Area Score" numFmtId="0">
      <sharedItems containsSemiMixedTypes="0" containsString="0" containsNumber="1" containsInteger="1" minValue="30" maxValue="100"/>
    </cacheField>
    <cacheField name="Certainty Score" numFmtId="0">
      <sharedItems containsSemiMixedTypes="0" containsString="0" containsNumber="1" containsInteger="1" minValue="20" maxValue="100"/>
    </cacheField>
    <cacheField name="Connectivity Modifier" numFmtId="165">
      <sharedItems containsSemiMixedTypes="0" containsString="0" containsNumber="1" minValue="0" maxValue="1"/>
    </cacheField>
    <cacheField name="Weighted Contribution Score" numFmtId="166">
      <sharedItems containsSemiMixedTypes="0" containsString="0" containsNumber="1" minValue="0" maxValue="25"/>
    </cacheField>
    <cacheField name="Weighted Flow Magnitude Score" numFmtId="166">
      <sharedItems containsSemiMixedTypes="0" containsString="0" containsNumber="1" minValue="0" maxValue="25"/>
    </cacheField>
    <cacheField name="Weighted Baseflow Score" numFmtId="166">
      <sharedItems containsSemiMixedTypes="0" containsString="0" containsNumber="1" minValue="0" maxValue="23.016826925"/>
    </cacheField>
    <cacheField name="Weighted Developed Area Score" numFmtId="166">
      <sharedItems containsSemiMixedTypes="0" containsString="0" containsNumber="1" minValue="0" maxValue="10"/>
    </cacheField>
    <cacheField name="Weighted Certainty Score" numFmtId="166">
      <sharedItems containsSemiMixedTypes="0" containsString="0" containsNumber="1" minValue="0" maxValue="15"/>
    </cacheField>
    <cacheField name="Weighted Composite Score" numFmtId="1">
      <sharedItems containsSemiMixedTypes="0" containsString="0" containsNumber="1" minValue="0" maxValue="98.016826925000004" count="72">
        <n v="41"/>
        <n v="50.5"/>
        <n v="37.25"/>
        <n v="57.5"/>
        <n v="38"/>
        <n v="52.5"/>
        <n v="44.333333324999998"/>
        <n v="43.357142850000002"/>
        <n v="67.357142850000002"/>
        <n v="56.5"/>
        <n v="54.5"/>
        <n v="49.5"/>
        <n v="63.285714274999997"/>
        <n v="74"/>
        <n v="51.5625"/>
        <n v="69.1875"/>
        <n v="77.119047625000007"/>
        <n v="76.166666675000002"/>
        <n v="30.791666662499999"/>
        <n v="76.635135125000005"/>
        <n v="64.105263149999999"/>
        <n v="67.046511624999994"/>
        <n v="58.5"/>
        <n v="71"/>
        <n v="66.296296299999995"/>
        <n v="53.932203399999999"/>
        <n v="66.725806449999993"/>
        <n v="75.181818175000004"/>
        <n v="80.546391749999998"/>
        <n v="74.727272725000006"/>
        <n v="61.060606050000004"/>
        <n v="79.348484850000006"/>
        <n v="49"/>
        <n v="80.221804500000005"/>
        <n v="70.233576650000003"/>
        <n v="35.35828025"/>
        <n v="37.836387437500001"/>
        <n v="57.179487174999998"/>
        <n v="78.655172424999989"/>
        <n v="98.016826925000004"/>
        <n v="72.132701424999993"/>
        <n v="88.632701424999993"/>
        <n v="96.694214875"/>
        <n v="91.932270924999997"/>
        <n v="88.555327875000003"/>
        <n v="97.4609375"/>
        <n v="71.835766425000003"/>
        <n v="58"/>
        <n v="59.5"/>
        <n v="46.5"/>
        <n v="48"/>
        <n v="46"/>
        <n v="53"/>
        <n v="62"/>
        <n v="45"/>
        <n v="55"/>
        <n v="65"/>
        <n v="44.5"/>
        <n v="0"/>
        <n v="43"/>
        <n v="54"/>
        <n v="65.5"/>
        <n v="51"/>
        <n v="53.5"/>
        <n v="44"/>
        <n v="60"/>
        <n v="48.5"/>
        <n v="42.5"/>
        <n v="51.5"/>
        <n v="59"/>
        <n v="72"/>
        <n v="62.04651162500000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la Talebi" refreshedDate="42632.453611226854" createdVersion="6" refreshedVersion="6" minRefreshableVersion="3" recordCount="126" xr:uid="{00000000-000A-0000-FFFF-FFFF01000000}">
  <cacheSource type="worksheet">
    <worksheetSource ref="A1:BG31" sheet="MasterGISTable with Scoring"/>
  </cacheSource>
  <cacheFields count="59">
    <cacheField name="FACILITYID" numFmtId="0">
      <sharedItems containsBlank="1"/>
    </cacheField>
    <cacheField name="LOCDESC" numFmtId="0">
      <sharedItems containsBlank="1"/>
    </cacheField>
    <cacheField name="SIZE1" numFmtId="0">
      <sharedItems containsString="0" containsBlank="1" containsNumber="1" containsInteger="1" minValue="24" maxValue="192"/>
    </cacheField>
    <cacheField name="SIZE2" numFmtId="0">
      <sharedItems containsString="0" containsBlank="1" containsNumber="1" minValue="3" maxValue="78"/>
    </cacheField>
    <cacheField name="SIZE3" numFmtId="0">
      <sharedItems containsString="0" containsBlank="1" containsNumber="1" containsInteger="1" minValue="5" maxValue="120"/>
    </cacheField>
    <cacheField name="CatchID" numFmtId="0">
      <sharedItems containsString="0" containsBlank="1" containsNumber="1" containsInteger="1" minValue="15" maxValue="12177"/>
    </cacheField>
    <cacheField name="DrainID" numFmtId="0">
      <sharedItems containsBlank="1"/>
    </cacheField>
    <cacheField name="INSPECTED" numFmtId="0">
      <sharedItems containsString="0" containsBlank="1" containsNumber="1" containsInteger="1" minValue="1" maxValue="1"/>
    </cacheField>
    <cacheField name="FACTYPE" numFmtId="0">
      <sharedItems containsString="0" containsBlank="1" containsNumber="1" containsInteger="1" minValue="0" maxValue="2"/>
    </cacheField>
    <cacheField name="JURISDICTI" numFmtId="0">
      <sharedItems containsBlank="1"/>
    </cacheField>
    <cacheField name="MANAGEMENT" numFmtId="0">
      <sharedItems containsBlank="1"/>
    </cacheField>
    <cacheField name="Watershed" numFmtId="0">
      <sharedItems containsBlank="1"/>
    </cacheField>
    <cacheField name="Shape_Length" numFmtId="0">
      <sharedItems containsString="0" containsBlank="1" containsNumber="1" minValue="3279.87662228108" maxValue="115728.732090433"/>
    </cacheField>
    <cacheField name="Shape_Area" numFmtId="0">
      <sharedItems containsString="0" containsBlank="1" containsNumber="1" minValue="529212.09289093001" maxValue="163657395.21656099"/>
    </cacheField>
    <cacheField name="POLY_AREA" numFmtId="0">
      <sharedItems containsString="0" containsBlank="1" containsNumber="1" minValue="12.1490758011319" maxValue="3757.0685300110699"/>
    </cacheField>
    <cacheField name="Per_Developed" numFmtId="0">
      <sharedItems containsString="0" containsBlank="1" containsNumber="1" containsInteger="1" minValue="0" maxValue="100"/>
    </cacheField>
    <cacheField name="Per_Residential" numFmtId="0">
      <sharedItems containsString="0" containsBlank="1" containsNumber="1" containsInteger="1" minValue="0" maxValue="100"/>
    </cacheField>
    <cacheField name="Per_Aliso" numFmtId="0">
      <sharedItems containsString="0" containsBlank="1" containsNumber="1" containsInteger="1" minValue="0" maxValue="100"/>
    </cacheField>
    <cacheField name="Per_Dana" numFmtId="0">
      <sharedItems containsString="0" containsBlank="1" containsNumber="1" containsInteger="1" minValue="0" maxValue="100"/>
    </cacheField>
    <cacheField name="Per_LB" numFmtId="0">
      <sharedItems containsString="0" containsBlank="1" containsNumber="1" containsInteger="1" minValue="0" maxValue="100"/>
    </cacheField>
    <cacheField name="Per_LH" numFmtId="0">
      <sharedItems containsString="0" containsBlank="1" containsNumber="1" containsInteger="1" minValue="0" maxValue="99"/>
    </cacheField>
    <cacheField name="Per_LN" numFmtId="0">
      <sharedItems containsString="0" containsBlank="1" containsNumber="1" containsInteger="1" minValue="0" maxValue="100"/>
    </cacheField>
    <cacheField name="Per_LW" numFmtId="0">
      <sharedItems containsString="0" containsBlank="1" containsNumber="1" containsInteger="1" minValue="0" maxValue="100"/>
    </cacheField>
    <cacheField name="Per_LF" numFmtId="0">
      <sharedItems containsString="0" containsBlank="1" containsNumber="1" containsInteger="1" minValue="0" maxValue="100"/>
    </cacheField>
    <cacheField name="Per_MV" numFmtId="0">
      <sharedItems containsString="0" containsBlank="1" containsNumber="1" containsInteger="1" minValue="0" maxValue="100"/>
    </cacheField>
    <cacheField name="Per_OC" numFmtId="0">
      <sharedItems containsString="0" containsBlank="1" containsNumber="1" containsInteger="1" minValue="0" maxValue="100"/>
    </cacheField>
    <cacheField name="Per_RSM" numFmtId="0">
      <sharedItems containsString="0" containsBlank="1" containsNumber="1" containsInteger="1" minValue="0" maxValue="100"/>
    </cacheField>
    <cacheField name="Per_SC" numFmtId="0">
      <sharedItems containsString="0" containsBlank="1" containsNumber="1" containsInteger="1" minValue="0" maxValue="100"/>
    </cacheField>
    <cacheField name="Per_SJC" numFmtId="0">
      <sharedItems containsString="0" containsBlank="1" containsNumber="1" containsInteger="1" minValue="0" maxValue="100"/>
    </cacheField>
    <cacheField name="insp_flow_obs" numFmtId="0">
      <sharedItems containsString="0" containsBlank="1" containsNumber="1" containsInteger="1" minValue="1" maxValue="5"/>
    </cacheField>
    <cacheField name="insp_avg_flow_width" numFmtId="0">
      <sharedItems containsString="0" containsBlank="1" containsNumber="1" minValue="0.2" maxValue="5.5666666666666602"/>
    </cacheField>
    <cacheField name="insp_avg_flow_depth" numFmtId="0">
      <sharedItems containsString="0" containsBlank="1" containsNumber="1" minValue="1E-3" maxValue="0.78500000000000003"/>
    </cacheField>
    <cacheField name="insp_avg_flow_vel" numFmtId="0">
      <sharedItems containsString="0" containsBlank="1" containsNumber="1" minValue="0.02" maxValue="6"/>
    </cacheField>
    <cacheField name="insp_min_dis" numFmtId="0">
      <sharedItems containsString="0" containsBlank="1" containsNumber="1" minValue="2.55E-5" maxValue="0.58140000000000003"/>
    </cacheField>
    <cacheField name="insp_max_dis" numFmtId="0">
      <sharedItems containsString="0" containsBlank="1" containsNumber="1" minValue="2.55E-5" maxValue="6.4016736401673597"/>
    </cacheField>
    <cacheField name="insp_avg_dis" numFmtId="0">
      <sharedItems containsString="0" containsBlank="1" containsNumber="1" minValue="2.55E-5" maxValue="2.3561999999999999"/>
    </cacheField>
    <cacheField name="insp_conn" numFmtId="0">
      <sharedItems containsBlank="1" count="4">
        <m/>
        <s v="Direct Connection"/>
        <s v="Partial"/>
        <s v="None - Flow Infiltrates"/>
      </sharedItems>
    </cacheField>
    <cacheField name="insp_upstream" numFmtId="0">
      <sharedItems containsBlank="1"/>
    </cacheField>
    <cacheField name="downstream" numFmtId="0">
      <sharedItems containsBlank="1"/>
    </cacheField>
    <cacheField name="insp_contribution" numFmtId="0">
      <sharedItems containsBlank="1" count="4">
        <m/>
        <s v="Minor (10% - 50%)"/>
        <s v="Major (&gt;50%)"/>
        <s v="Small (&lt;10%)"/>
      </sharedItems>
    </cacheField>
    <cacheField name="AnalysisPeriod" numFmtId="0">
      <sharedItems containsBlank="1"/>
    </cacheField>
    <cacheField name="AvgFlow" numFmtId="0">
      <sharedItems containsString="0" containsBlank="1" containsNumber="1" minValue="2.7935999999999998E-4" maxValue="0.69905064299999997"/>
    </cacheField>
    <cacheField name="MedianFlow" numFmtId="0">
      <sharedItems containsString="0" containsBlank="1" containsNumber="1" minValue="0" maxValue="0.68500000000000005"/>
    </cacheField>
    <cacheField name="Avg_Med_Flow_diff_percnt" numFmtId="0">
      <sharedItems containsString="0" containsBlank="1" containsNumber="1" minValue="-0.237610298" maxValue="1"/>
    </cacheField>
    <cacheField name="MinFlow" numFmtId="0">
      <sharedItems containsString="0" containsBlank="1" containsNumber="1" minValue="0" maxValue="0.38"/>
    </cacheField>
    <cacheField name="MaxFlow" numFmtId="0">
      <sharedItems containsString="0" containsBlank="1" containsNumber="1" minValue="8.9999999999999993E-3" maxValue="1.41"/>
    </cacheField>
    <cacheField name="MedDailyMax" numFmtId="0">
      <sharedItems containsString="0" containsBlank="1" containsNumber="1" minValue="2E-3" maxValue="0.92900000000000005"/>
    </cacheField>
    <cacheField name="MedDailyMin" numFmtId="0">
      <sharedItems containsString="0" containsBlank="1" containsNumber="1" minValue="0" maxValue="0.47499999999999998"/>
    </cacheField>
    <cacheField name="MaxDailyMin" numFmtId="0">
      <sharedItems containsString="0" containsBlank="1" containsNumber="1" minValue="0" maxValue="0.63900000000000001"/>
    </cacheField>
    <cacheField name="Ratio_MedDailyMax_to_Median" numFmtId="0">
      <sharedItems containsString="0" containsBlank="1" containsNumber="1" minValue="1.095238095" maxValue="37.75"/>
    </cacheField>
    <cacheField name="Ratio_MedDailyMin_to_Median" numFmtId="0">
      <sharedItems containsString="0" containsBlank="1" containsNumber="1" minValue="0" maxValue="0.92067307700000001"/>
    </cacheField>
    <cacheField name="Weekday_AvgFlow" numFmtId="0">
      <sharedItems containsString="0" containsBlank="1" containsNumber="1" minValue="2.8035100000000003E-4" maxValue="0.71724068699999999"/>
    </cacheField>
    <cacheField name="Weekday_MaxFlow" numFmtId="0">
      <sharedItems containsString="0" containsBlank="1" containsNumber="1" minValue="8.9999999999999993E-3" maxValue="1.41"/>
    </cacheField>
    <cacheField name="Weekday_MedianFlow" numFmtId="0">
      <sharedItems containsString="0" containsBlank="1" containsNumber="1" minValue="0" maxValue="0.7"/>
    </cacheField>
    <cacheField name="Weekday_MinFlow" numFmtId="0">
      <sharedItems containsString="0" containsBlank="1" containsNumber="1" minValue="0" maxValue="0.38700000000000001"/>
    </cacheField>
    <cacheField name="Weekend_AvgFlow" numFmtId="0">
      <sharedItems containsString="0" containsBlank="1" containsNumber="1" minValue="2.7691E-4" maxValue="0.65581770800000005"/>
    </cacheField>
    <cacheField name="Weekend_MaxFlow" numFmtId="0">
      <sharedItems containsString="0" containsBlank="1" containsNumber="1" minValue="6.0000000000000001E-3" maxValue="1.17"/>
    </cacheField>
    <cacheField name="Weekend_MedianFlow" numFmtId="0">
      <sharedItems containsString="0" containsBlank="1" containsNumber="1" minValue="0" maxValue="0.64900000000000002"/>
    </cacheField>
    <cacheField name="Weekend_MinFlow" numFmtId="0">
      <sharedItems containsString="0" containsBlank="1" containsNumber="1" minValue="0" maxValue="0.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la Talebi" refreshedDate="42632.453644328707" createdVersion="6" refreshedVersion="6" minRefreshableVersion="3" recordCount="119" xr:uid="{00000000-000A-0000-FFFF-FFFF02000000}">
  <cacheSource type="worksheet">
    <worksheetSource ref="A1:BG24" sheet="MasterGISTable with Scoring"/>
  </cacheSource>
  <cacheFields count="59">
    <cacheField name="FACILITYID" numFmtId="0">
      <sharedItems/>
    </cacheField>
    <cacheField name="LOCDESC" numFmtId="0">
      <sharedItems containsBlank="1"/>
    </cacheField>
    <cacheField name="SIZE1" numFmtId="0">
      <sharedItems containsString="0" containsBlank="1" containsNumber="1" containsInteger="1" minValue="24" maxValue="192"/>
    </cacheField>
    <cacheField name="SIZE2" numFmtId="0">
      <sharedItems containsString="0" containsBlank="1" containsNumber="1" minValue="3" maxValue="78"/>
    </cacheField>
    <cacheField name="SIZE3" numFmtId="0">
      <sharedItems containsString="0" containsBlank="1" containsNumber="1" containsInteger="1" minValue="5" maxValue="120"/>
    </cacheField>
    <cacheField name="CatchID" numFmtId="0">
      <sharedItems containsSemiMixedTypes="0" containsString="0" containsNumber="1" containsInteger="1" minValue="15" maxValue="12177"/>
    </cacheField>
    <cacheField name="DrainID" numFmtId="0">
      <sharedItems/>
    </cacheField>
    <cacheField name="INSPECTED" numFmtId="0">
      <sharedItems containsSemiMixedTypes="0" containsString="0" containsNumber="1" containsInteger="1" minValue="1" maxValue="1"/>
    </cacheField>
    <cacheField name="FACTYPE" numFmtId="0">
      <sharedItems containsSemiMixedTypes="0" containsString="0" containsNumber="1" containsInteger="1" minValue="0" maxValue="2"/>
    </cacheField>
    <cacheField name="JURISDICTI" numFmtId="0">
      <sharedItems/>
    </cacheField>
    <cacheField name="MANAGEMENT" numFmtId="0">
      <sharedItems/>
    </cacheField>
    <cacheField name="Watershed" numFmtId="0">
      <sharedItems/>
    </cacheField>
    <cacheField name="Shape_Length" numFmtId="0">
      <sharedItems containsString="0" containsBlank="1" containsNumber="1" minValue="3279.87662228108" maxValue="115728.732090433"/>
    </cacheField>
    <cacheField name="Shape_Area" numFmtId="0">
      <sharedItems containsString="0" containsBlank="1" containsNumber="1" minValue="529212.09289093001" maxValue="163657395.21656099"/>
    </cacheField>
    <cacheField name="POLY_AREA" numFmtId="0">
      <sharedItems containsString="0" containsBlank="1" containsNumber="1" minValue="12.1490758011319" maxValue="3757.0685300110699"/>
    </cacheField>
    <cacheField name="Per_Developed" numFmtId="0">
      <sharedItems containsString="0" containsBlank="1" containsNumber="1" containsInteger="1" minValue="0" maxValue="100"/>
    </cacheField>
    <cacheField name="Per_Residential" numFmtId="0">
      <sharedItems containsString="0" containsBlank="1" containsNumber="1" containsInteger="1" minValue="0" maxValue="100"/>
    </cacheField>
    <cacheField name="Per_Aliso" numFmtId="0">
      <sharedItems containsString="0" containsBlank="1" containsNumber="1" containsInteger="1" minValue="0" maxValue="100"/>
    </cacheField>
    <cacheField name="Per_Dana" numFmtId="0">
      <sharedItems containsString="0" containsBlank="1" containsNumber="1" containsInteger="1" minValue="0" maxValue="100"/>
    </cacheField>
    <cacheField name="Per_LB" numFmtId="0">
      <sharedItems containsString="0" containsBlank="1" containsNumber="1" containsInteger="1" minValue="0" maxValue="100"/>
    </cacheField>
    <cacheField name="Per_LH" numFmtId="0">
      <sharedItems containsString="0" containsBlank="1" containsNumber="1" containsInteger="1" minValue="0" maxValue="99"/>
    </cacheField>
    <cacheField name="Per_LN" numFmtId="0">
      <sharedItems containsString="0" containsBlank="1" containsNumber="1" containsInteger="1" minValue="0" maxValue="100"/>
    </cacheField>
    <cacheField name="Per_LW" numFmtId="0">
      <sharedItems containsString="0" containsBlank="1" containsNumber="1" containsInteger="1" minValue="0" maxValue="100"/>
    </cacheField>
    <cacheField name="Per_LF" numFmtId="0">
      <sharedItems containsString="0" containsBlank="1" containsNumber="1" containsInteger="1" minValue="0" maxValue="100"/>
    </cacheField>
    <cacheField name="Per_MV" numFmtId="0">
      <sharedItems containsString="0" containsBlank="1" containsNumber="1" containsInteger="1" minValue="0" maxValue="100"/>
    </cacheField>
    <cacheField name="Per_OC" numFmtId="0">
      <sharedItems containsString="0" containsBlank="1" containsNumber="1" containsInteger="1" minValue="0" maxValue="100"/>
    </cacheField>
    <cacheField name="Per_RSM" numFmtId="0">
      <sharedItems containsString="0" containsBlank="1" containsNumber="1" containsInteger="1" minValue="0" maxValue="100"/>
    </cacheField>
    <cacheField name="Per_SC" numFmtId="0">
      <sharedItems containsString="0" containsBlank="1" containsNumber="1" containsInteger="1" minValue="0" maxValue="100"/>
    </cacheField>
    <cacheField name="Per_SJC" numFmtId="0">
      <sharedItems containsString="0" containsBlank="1" containsNumber="1" containsInteger="1" minValue="0" maxValue="100"/>
    </cacheField>
    <cacheField name="insp_flow_obs" numFmtId="0">
      <sharedItems containsString="0" containsBlank="1" containsNumber="1" containsInteger="1" minValue="1" maxValue="5"/>
    </cacheField>
    <cacheField name="insp_avg_flow_width" numFmtId="0">
      <sharedItems containsString="0" containsBlank="1" containsNumber="1" minValue="0.2" maxValue="5.5666666666666602"/>
    </cacheField>
    <cacheField name="insp_avg_flow_depth" numFmtId="0">
      <sharedItems containsString="0" containsBlank="1" containsNumber="1" minValue="1E-3" maxValue="0.78500000000000003"/>
    </cacheField>
    <cacheField name="insp_avg_flow_vel" numFmtId="0">
      <sharedItems containsString="0" containsBlank="1" containsNumber="1" minValue="0.02" maxValue="6"/>
    </cacheField>
    <cacheField name="insp_min_dis" numFmtId="0">
      <sharedItems containsString="0" containsBlank="1" containsNumber="1" minValue="2.55E-5" maxValue="0.58140000000000003"/>
    </cacheField>
    <cacheField name="insp_max_dis" numFmtId="0">
      <sharedItems containsString="0" containsBlank="1" containsNumber="1" minValue="2.55E-5" maxValue="6.4016736401673597"/>
    </cacheField>
    <cacheField name="insp_avg_dis" numFmtId="0">
      <sharedItems containsString="0" containsBlank="1" containsNumber="1" minValue="2.55E-5" maxValue="2.3561999999999999"/>
    </cacheField>
    <cacheField name="insp_conn" numFmtId="0">
      <sharedItems containsBlank="1" count="4">
        <m/>
        <s v="Direct Connection"/>
        <s v="Partial"/>
        <s v="None - Flow Infiltrates"/>
      </sharedItems>
    </cacheField>
    <cacheField name="insp_upstream" numFmtId="0">
      <sharedItems containsBlank="1"/>
    </cacheField>
    <cacheField name="downstream" numFmtId="0">
      <sharedItems containsBlank="1"/>
    </cacheField>
    <cacheField name="insp_contribution" numFmtId="0">
      <sharedItems containsBlank="1" count="4">
        <m/>
        <s v="Minor (10% - 50%)"/>
        <s v="Major (&gt;50%)"/>
        <s v="Small (&lt;10%)"/>
      </sharedItems>
    </cacheField>
    <cacheField name="AnalysisPeriod" numFmtId="0">
      <sharedItems containsBlank="1"/>
    </cacheField>
    <cacheField name="AvgFlow" numFmtId="0">
      <sharedItems containsString="0" containsBlank="1" containsNumber="1" minValue="2.7935999999999998E-4" maxValue="0.69905064299999997"/>
    </cacheField>
    <cacheField name="MedianFlow" numFmtId="0">
      <sharedItems containsString="0" containsBlank="1" containsNumber="1" minValue="0" maxValue="0.68500000000000005"/>
    </cacheField>
    <cacheField name="Avg_Med_Flow_diff_percnt" numFmtId="0">
      <sharedItems containsString="0" containsBlank="1" containsNumber="1" minValue="-0.237610298" maxValue="1"/>
    </cacheField>
    <cacheField name="MinFlow" numFmtId="0">
      <sharedItems containsString="0" containsBlank="1" containsNumber="1" minValue="0" maxValue="0.38"/>
    </cacheField>
    <cacheField name="MaxFlow" numFmtId="0">
      <sharedItems containsString="0" containsBlank="1" containsNumber="1" minValue="8.9999999999999993E-3" maxValue="1.41"/>
    </cacheField>
    <cacheField name="MedDailyMax" numFmtId="0">
      <sharedItems containsString="0" containsBlank="1" containsNumber="1" minValue="2E-3" maxValue="0.92900000000000005"/>
    </cacheField>
    <cacheField name="MedDailyMin" numFmtId="0">
      <sharedItems containsString="0" containsBlank="1" containsNumber="1" minValue="0" maxValue="0.47499999999999998"/>
    </cacheField>
    <cacheField name="MaxDailyMin" numFmtId="0">
      <sharedItems containsString="0" containsBlank="1" containsNumber="1" minValue="0" maxValue="0.63900000000000001"/>
    </cacheField>
    <cacheField name="Ratio_MedDailyMax_to_Median" numFmtId="0">
      <sharedItems containsString="0" containsBlank="1" containsNumber="1" minValue="1.095238095" maxValue="37.75"/>
    </cacheField>
    <cacheField name="Ratio_MedDailyMin_to_Median" numFmtId="0">
      <sharedItems containsString="0" containsBlank="1" containsNumber="1" minValue="0" maxValue="0.92067307700000001"/>
    </cacheField>
    <cacheField name="Weekday_AvgFlow" numFmtId="0">
      <sharedItems containsString="0" containsBlank="1" containsNumber="1" minValue="2.8035100000000003E-4" maxValue="0.71724068699999999"/>
    </cacheField>
    <cacheField name="Weekday_MaxFlow" numFmtId="0">
      <sharedItems containsString="0" containsBlank="1" containsNumber="1" minValue="8.9999999999999993E-3" maxValue="1.41"/>
    </cacheField>
    <cacheField name="Weekday_MedianFlow" numFmtId="0">
      <sharedItems containsString="0" containsBlank="1" containsNumber="1" minValue="0" maxValue="0.7"/>
    </cacheField>
    <cacheField name="Weekday_MinFlow" numFmtId="0">
      <sharedItems containsString="0" containsBlank="1" containsNumber="1" minValue="0" maxValue="0.38700000000000001"/>
    </cacheField>
    <cacheField name="Weekend_AvgFlow" numFmtId="0">
      <sharedItems containsString="0" containsBlank="1" containsNumber="1" minValue="2.7691E-4" maxValue="0.65581770800000005"/>
    </cacheField>
    <cacheField name="Weekend_MaxFlow" numFmtId="0">
      <sharedItems containsString="0" containsBlank="1" containsNumber="1" minValue="6.0000000000000001E-3" maxValue="1.17"/>
    </cacheField>
    <cacheField name="Weekend_MedianFlow" numFmtId="0">
      <sharedItems containsString="0" containsBlank="1" containsNumber="1" minValue="0" maxValue="0.64900000000000002"/>
    </cacheField>
    <cacheField name="Weekend_MinFlow" numFmtId="0">
      <sharedItems containsString="0" containsBlank="1" containsNumber="1" minValue="0" maxValue="0.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">
  <r>
    <s v="K01-12155-1"/>
    <m/>
    <n v="36"/>
    <m/>
    <m/>
    <n v="12155"/>
    <s v="K01"/>
    <n v="1"/>
    <n v="0"/>
    <s v="LAGUNA NIGUEL"/>
    <s v="SOUTH"/>
    <x v="0"/>
    <n v="8176.1841665931097"/>
    <n v="2777293.59180986"/>
    <n v="63.7580864499445"/>
    <n v="44"/>
    <n v="44"/>
    <n v="0"/>
    <n v="0"/>
    <n v="0"/>
    <n v="0"/>
    <n v="100"/>
    <n v="0"/>
    <n v="0"/>
    <n v="0"/>
    <n v="0"/>
    <n v="0"/>
    <n v="0"/>
    <n v="0"/>
    <n v="1"/>
    <n v="0.5"/>
    <n v="0.01"/>
    <n v="0.133333333333333"/>
    <n v="5.6666666666699999E-4"/>
    <n v="5.6666666666699999E-4"/>
    <n v="5.6666666666699999E-4"/>
    <m/>
    <m/>
    <m/>
    <x v="0"/>
    <s v="Aug- 3 - Aug-17, 13 days"/>
    <n v="2.7935999999999998E-4"/>
    <n v="0"/>
    <n v="1"/>
    <n v="0"/>
    <n v="8.9999999999999993E-3"/>
    <n v="2E-3"/>
    <n v="0"/>
    <n v="0"/>
    <m/>
    <m/>
    <n v="2.8035100000000003E-4"/>
    <n v="8.9999999999999993E-3"/>
    <n v="0"/>
    <n v="0"/>
    <n v="2.7691E-4"/>
    <n v="6.0000000000000001E-3"/>
    <n v="0"/>
    <n v="0"/>
    <n v="0"/>
    <n v="28.053558037975581"/>
    <n v="70"/>
    <n v="30"/>
    <n v="40"/>
    <n v="30"/>
    <n v="20"/>
    <n v="1"/>
    <n v="17.5"/>
    <n v="7.5"/>
    <n v="10"/>
    <n v="3"/>
    <n v="3"/>
    <x v="0"/>
  </r>
  <r>
    <s v="L02-641-1"/>
    <s v="Left pipe"/>
    <n v="96"/>
    <m/>
    <m/>
    <n v="641"/>
    <s v="L02"/>
    <n v="1"/>
    <n v="0"/>
    <s v="RANCHO SANTA MARGARITA"/>
    <s v="SOUTH"/>
    <x v="1"/>
    <n v="43302.910212702802"/>
    <n v="40351462.477653503"/>
    <n v="926.34500026169906"/>
    <n v="84"/>
    <n v="63"/>
    <n v="0"/>
    <n v="0"/>
    <n v="0"/>
    <n v="0"/>
    <n v="0"/>
    <n v="0"/>
    <n v="0"/>
    <n v="0"/>
    <n v="1"/>
    <n v="99"/>
    <n v="0"/>
    <n v="0"/>
    <n v="1"/>
    <n v="0.45"/>
    <n v="0.01"/>
    <n v="1.2"/>
    <n v="4.5900000000000003E-3"/>
    <n v="4.5900000000000003E-3"/>
    <n v="4.5900000000000003E-3"/>
    <s v="Direct Connection"/>
    <m/>
    <s v="Flowing"/>
    <x v="1"/>
    <s v="Jul- 1 - Jul-14, 12 days"/>
    <n v="6.4444439999999997E-3"/>
    <n v="0"/>
    <n v="1"/>
    <n v="0"/>
    <n v="0.32700000000000001"/>
    <n v="0.13950000000000001"/>
    <n v="0"/>
    <n v="0"/>
    <m/>
    <m/>
    <n v="6.3659900000000002E-3"/>
    <n v="0.312"/>
    <n v="0"/>
    <n v="0"/>
    <n v="6.6154509999999996E-3"/>
    <n v="0.32700000000000001"/>
    <n v="0"/>
    <n v="0"/>
    <n v="0"/>
    <n v="778.12980021982719"/>
    <n v="80"/>
    <n v="30"/>
    <n v="40"/>
    <n v="100"/>
    <n v="20"/>
    <n v="1"/>
    <n v="20"/>
    <n v="7.5"/>
    <n v="10"/>
    <n v="10"/>
    <n v="3"/>
    <x v="1"/>
  </r>
  <r>
    <s v="J01-9273-1"/>
    <s v="LWJ01ASVM"/>
    <n v="36"/>
    <m/>
    <m/>
    <n v="9273"/>
    <s v="J01"/>
    <n v="1"/>
    <n v="0"/>
    <s v="LAGUNA WOODS"/>
    <s v="SOUTH"/>
    <x v="2"/>
    <n v="5576.0840780041299"/>
    <n v="1336828.50869986"/>
    <n v="30.689455330825201"/>
    <n v="99"/>
    <n v="98"/>
    <n v="0"/>
    <n v="0"/>
    <n v="0"/>
    <n v="5"/>
    <n v="0"/>
    <n v="95"/>
    <n v="0"/>
    <n v="0"/>
    <n v="0"/>
    <n v="0"/>
    <n v="0"/>
    <n v="0"/>
    <m/>
    <m/>
    <m/>
    <m/>
    <m/>
    <m/>
    <m/>
    <m/>
    <m/>
    <m/>
    <x v="0"/>
    <s v="Apr- 5 - May- 9, 33 days"/>
    <n v="9.5900570000000008E-3"/>
    <n v="4.0000000000000001E-3"/>
    <n v="0.58290133399999999"/>
    <n v="0"/>
    <n v="1.41"/>
    <n v="1.2999999999999999E-2"/>
    <n v="1E-3"/>
    <n v="4.0000000000000001E-3"/>
    <n v="3.25"/>
    <n v="0.25"/>
    <n v="1.0012104000000001E-2"/>
    <n v="1.41"/>
    <n v="5.0000000000000001E-3"/>
    <n v="0"/>
    <n v="8.2305050000000008E-3"/>
    <n v="0.154"/>
    <n v="4.0000000000000001E-3"/>
    <n v="0"/>
    <n v="4.0000000000000001E-3"/>
    <n v="30.382560777516947"/>
    <n v="70"/>
    <n v="30"/>
    <n v="25"/>
    <n v="30"/>
    <n v="20"/>
    <n v="1"/>
    <n v="17.5"/>
    <n v="7.5"/>
    <n v="6.25"/>
    <n v="3"/>
    <n v="3"/>
    <x v="2"/>
  </r>
  <r>
    <s v="L02-641-2"/>
    <s v="Right pipe"/>
    <n v="96"/>
    <m/>
    <m/>
    <n v="641"/>
    <s v="L02"/>
    <n v="1"/>
    <n v="0"/>
    <s v="RANCHO SANTA MARGARITA"/>
    <s v="SOUTH"/>
    <x v="1"/>
    <n v="43302.910212702802"/>
    <n v="40351462.477653503"/>
    <n v="926.34500026169906"/>
    <n v="84"/>
    <n v="63"/>
    <n v="0"/>
    <n v="0"/>
    <n v="0"/>
    <n v="0"/>
    <n v="0"/>
    <n v="0"/>
    <n v="0"/>
    <n v="0"/>
    <n v="1"/>
    <n v="99"/>
    <n v="0"/>
    <n v="0"/>
    <n v="2"/>
    <n v="0.9"/>
    <n v="3.5000000000000003E-2"/>
    <n v="1.5"/>
    <n v="2.6775E-2"/>
    <n v="5.6099999999999997E-2"/>
    <n v="4.1437500000000002E-2"/>
    <s v="Direct Connection"/>
    <m/>
    <s v="Flowing"/>
    <x v="2"/>
    <s v="Jul- 1 - Jul- 7, 6 days"/>
    <n v="1.8195313000000001E-2"/>
    <n v="4.0000000000000001E-3"/>
    <n v="0.78016315999999997"/>
    <n v="0"/>
    <n v="0.19600000000000001"/>
    <n v="0.151"/>
    <n v="0"/>
    <n v="0"/>
    <n v="37.75"/>
    <n v="0"/>
    <n v="1.6841282999999999E-2"/>
    <n v="0.16200000000000001"/>
    <n v="4.0000000000000001E-3"/>
    <n v="0"/>
    <n v="2.1053819000000001E-2"/>
    <n v="0.19600000000000001"/>
    <n v="5.0000000000000001E-3"/>
    <n v="0"/>
    <n v="4.0000000000000001E-3"/>
    <n v="778.12980021982719"/>
    <n v="100"/>
    <n v="30"/>
    <n v="0"/>
    <n v="100"/>
    <n v="100"/>
    <n v="1"/>
    <n v="25"/>
    <n v="7.5"/>
    <n v="0"/>
    <n v="10"/>
    <n v="15"/>
    <x v="3"/>
  </r>
  <r>
    <s v="L03-708-11"/>
    <s v="L03P05"/>
    <n v="60"/>
    <m/>
    <m/>
    <n v="708"/>
    <s v="L03"/>
    <n v="1"/>
    <n v="0"/>
    <s v="LAGUNA NIGUEL"/>
    <s v="SOUTH"/>
    <x v="1"/>
    <n v="17489.2002552429"/>
    <n v="7479567.9569291798"/>
    <n v="171.70778840682701"/>
    <n v="71"/>
    <n v="70"/>
    <n v="0"/>
    <n v="0"/>
    <n v="0"/>
    <n v="99"/>
    <n v="1"/>
    <n v="0"/>
    <n v="0"/>
    <n v="0"/>
    <n v="0"/>
    <n v="0"/>
    <n v="0"/>
    <n v="0"/>
    <n v="2"/>
    <n v="0.92500000000000004"/>
    <n v="0.06"/>
    <n v="1.75"/>
    <n v="3.8249999999999999E-2"/>
    <n v="0.14960000000000001"/>
    <n v="9.3924999999999995E-2"/>
    <m/>
    <m/>
    <m/>
    <x v="0"/>
    <s v="Apr- 7 - May- 4, 26 days"/>
    <n v="6.6242389999999996E-3"/>
    <n v="4.0000000000000001E-3"/>
    <n v="0.39615702899999999"/>
    <n v="0"/>
    <n v="0.10299999999999999"/>
    <n v="0.03"/>
    <n v="0"/>
    <n v="4.0000000000000001E-3"/>
    <n v="7.5"/>
    <n v="0"/>
    <n v="6.4652030000000001E-3"/>
    <n v="0.10199999999999999"/>
    <n v="4.0000000000000001E-3"/>
    <n v="0"/>
    <n v="7.0655170000000003E-3"/>
    <n v="0.10299999999999999"/>
    <n v="4.0000000000000001E-3"/>
    <n v="0"/>
    <n v="4.0000000000000001E-3"/>
    <n v="121.91252976884718"/>
    <n v="70"/>
    <n v="30"/>
    <n v="0"/>
    <n v="70"/>
    <n v="40"/>
    <n v="1"/>
    <n v="17.5"/>
    <n v="7.5"/>
    <n v="0"/>
    <n v="7"/>
    <n v="6"/>
    <x v="4"/>
  </r>
  <r>
    <s v="M02-015-1"/>
    <m/>
    <n v="36"/>
    <m/>
    <m/>
    <n v="15"/>
    <s v="M02"/>
    <n v="1"/>
    <n v="0"/>
    <s v="SAN CLEMENTE"/>
    <s v="SOUTH"/>
    <x v="3"/>
    <n v="8349.5871079938897"/>
    <n v="2870071.5464682099"/>
    <n v="65.887981852864797"/>
    <n v="9"/>
    <n v="9"/>
    <n v="0"/>
    <n v="0"/>
    <n v="0"/>
    <n v="0"/>
    <n v="0"/>
    <n v="0"/>
    <n v="0"/>
    <n v="0"/>
    <n v="0"/>
    <n v="0"/>
    <n v="100"/>
    <n v="0"/>
    <n v="1"/>
    <n v="0.5"/>
    <n v="0.04"/>
    <n v="2.60869565217391"/>
    <n v="4.4347826086956997E-2"/>
    <n v="4.4347826086956997E-2"/>
    <n v="4.4347826086956997E-2"/>
    <s v="Direct Connection"/>
    <m/>
    <s v="Flowing"/>
    <x v="2"/>
    <s v="Jul-29 - Aug-15, 16 days"/>
    <n v="1.3269372999999999E-2"/>
    <n v="5.0000000000000001E-3"/>
    <n v="0.62319243599999996"/>
    <n v="0"/>
    <n v="0.16700000000000001"/>
    <n v="8.7499999999999994E-2"/>
    <n v="0"/>
    <n v="0"/>
    <n v="17.5"/>
    <n v="0"/>
    <n v="1.401619E-2"/>
    <n v="0.16700000000000001"/>
    <n v="5.0000000000000001E-3"/>
    <n v="0"/>
    <n v="1.1907986000000001E-2"/>
    <n v="0.156"/>
    <n v="5.0000000000000001E-3"/>
    <n v="0"/>
    <n v="5.0000000000000001E-3"/>
    <n v="5.929918366757831"/>
    <n v="100"/>
    <n v="50"/>
    <n v="0"/>
    <n v="30"/>
    <n v="80"/>
    <n v="1"/>
    <n v="25"/>
    <n v="12.5"/>
    <n v="0"/>
    <n v="3"/>
    <n v="12"/>
    <x v="5"/>
  </r>
  <r>
    <s v="J01-9046-2"/>
    <s v="J01@Normandale"/>
    <n v="42"/>
    <m/>
    <m/>
    <n v="9046"/>
    <s v="J01"/>
    <n v="1"/>
    <n v="0"/>
    <s v="LAKE FOREST"/>
    <s v="SOUTH"/>
    <x v="2"/>
    <n v="6209.1484323688701"/>
    <n v="2019599.9272104499"/>
    <n v="46.3637791600827"/>
    <n v="69"/>
    <n v="69"/>
    <n v="0"/>
    <n v="0"/>
    <n v="0"/>
    <n v="0"/>
    <n v="0"/>
    <n v="0"/>
    <n v="99"/>
    <n v="1"/>
    <n v="0"/>
    <n v="0"/>
    <n v="0"/>
    <n v="0"/>
    <m/>
    <m/>
    <m/>
    <m/>
    <m/>
    <m/>
    <m/>
    <m/>
    <m/>
    <m/>
    <x v="0"/>
    <s v="Apr- 5 - May- 9, 33 days"/>
    <n v="1.6189631999999999E-2"/>
    <n v="6.0000000000000001E-3"/>
    <n v="0.62939243300000003"/>
    <n v="0"/>
    <n v="0.22500000000000001"/>
    <n v="0.02"/>
    <n v="2E-3"/>
    <n v="4.0000000000000001E-3"/>
    <n v="3.3333333330000001"/>
    <n v="0.33333333300000001"/>
    <n v="1.8920874000000001E-2"/>
    <n v="0.22500000000000001"/>
    <n v="6.0000000000000001E-3"/>
    <n v="0"/>
    <n v="7.4415139999999998E-3"/>
    <n v="0.11899999999999999"/>
    <n v="6.0000000000000001E-3"/>
    <n v="0"/>
    <n v="6.0000000000000001E-3"/>
    <n v="31.991007620457061"/>
    <n v="70"/>
    <n v="50"/>
    <n v="33.3333333"/>
    <n v="30"/>
    <n v="20"/>
    <n v="1"/>
    <n v="17.5"/>
    <n v="12.5"/>
    <n v="8.3333333249999999"/>
    <n v="3"/>
    <n v="3"/>
    <x v="6"/>
  </r>
  <r>
    <s v="J01-9082-4"/>
    <m/>
    <n v="42"/>
    <m/>
    <m/>
    <n v="9082"/>
    <s v="J01"/>
    <n v="1"/>
    <n v="0"/>
    <s v="ALISO VIEJO"/>
    <s v="SOUTH"/>
    <x v="2"/>
    <n v="10619.0299810373"/>
    <n v="5430205.8138061604"/>
    <n v="124.660760655133"/>
    <n v="84"/>
    <n v="82"/>
    <n v="98"/>
    <n v="0"/>
    <n v="0"/>
    <n v="0"/>
    <n v="0"/>
    <n v="0"/>
    <n v="0"/>
    <n v="0"/>
    <n v="2"/>
    <n v="0"/>
    <n v="0"/>
    <n v="0"/>
    <n v="1"/>
    <n v="0.7"/>
    <n v="0.06"/>
    <n v="1"/>
    <n v="3.5700000000000003E-2"/>
    <n v="3.5700000000000003E-2"/>
    <n v="3.5700000000000003E-2"/>
    <m/>
    <m/>
    <m/>
    <x v="0"/>
    <s v="Jun- 9 - Jun-24, 14 days"/>
    <n v="8.4742389999999997E-3"/>
    <n v="7.0000000000000001E-3"/>
    <n v="0.17396714099999999"/>
    <n v="0"/>
    <n v="5.5E-2"/>
    <n v="2.6499999999999999E-2"/>
    <n v="1.5E-3"/>
    <n v="7.0000000000000001E-3"/>
    <n v="3.7857142860000002"/>
    <n v="0.21428571399999999"/>
    <n v="8.6372059999999997E-3"/>
    <n v="5.5E-2"/>
    <n v="7.0000000000000001E-3"/>
    <n v="0"/>
    <n v="8.0468750000000002E-3"/>
    <n v="4.1000000000000002E-2"/>
    <n v="7.0000000000000001E-3"/>
    <n v="0"/>
    <n v="7.0000000000000001E-3"/>
    <n v="104.71503895031172"/>
    <n v="70"/>
    <n v="50"/>
    <n v="21.428571399999999"/>
    <n v="50"/>
    <n v="20"/>
    <n v="1"/>
    <n v="17.5"/>
    <n v="12.5"/>
    <n v="5.3571428499999998"/>
    <n v="5"/>
    <n v="3"/>
    <x v="7"/>
  </r>
  <r>
    <s v="J01-9224-1"/>
    <s v="J01P24"/>
    <n v="54"/>
    <m/>
    <m/>
    <n v="9224"/>
    <s v="J01"/>
    <n v="1"/>
    <n v="0"/>
    <s v="LAGUNA NIGUEL"/>
    <s v="SOUTH"/>
    <x v="2"/>
    <n v="14688.682923648201"/>
    <n v="9690643.8780673593"/>
    <n v="222.46726523817301"/>
    <n v="98"/>
    <n v="0"/>
    <n v="2"/>
    <n v="0"/>
    <n v="0"/>
    <n v="0"/>
    <n v="98"/>
    <n v="0"/>
    <n v="0"/>
    <n v="0"/>
    <n v="0"/>
    <n v="0"/>
    <n v="0"/>
    <n v="0"/>
    <n v="3"/>
    <n v="1.06666666666666"/>
    <n v="0.06"/>
    <n v="0.39285714285714302"/>
    <n v="1.7212499999999999E-2"/>
    <n v="2.8049999999999999E-2"/>
    <n v="2.1462499999999999E-2"/>
    <s v="Direct Connection"/>
    <s v="Flowing"/>
    <s v="Flowing"/>
    <x v="3"/>
    <s v="Jul-20 - Aug- 3, 13 days"/>
    <n v="7.7319370000000004E-3"/>
    <n v="7.0000000000000001E-3"/>
    <n v="9.4664138999999994E-2"/>
    <n v="2E-3"/>
    <n v="1.7999999999999999E-2"/>
    <n v="1.4E-2"/>
    <n v="5.0000000000000001E-3"/>
    <n v="6.0000000000000001E-3"/>
    <n v="2"/>
    <n v="0.71428571399999996"/>
    <n v="7.7908550000000002E-3"/>
    <n v="1.7999999999999999E-2"/>
    <n v="7.0000000000000001E-3"/>
    <n v="2E-3"/>
    <n v="7.5954860000000003E-3"/>
    <n v="1.6E-2"/>
    <n v="7.0000000000000001E-3"/>
    <n v="4.0000000000000001E-3"/>
    <n v="7.0000000000000001E-3"/>
    <n v="218.01791993340953"/>
    <n v="60"/>
    <n v="50"/>
    <n v="71.428571399999996"/>
    <n v="70"/>
    <n v="100"/>
    <n v="1"/>
    <n v="15"/>
    <n v="12.5"/>
    <n v="17.857142849999999"/>
    <n v="7"/>
    <n v="15"/>
    <x v="8"/>
  </r>
  <r>
    <s v="K01-12058-1"/>
    <s v="K01P08"/>
    <n v="72"/>
    <m/>
    <m/>
    <n v="12058"/>
    <s v="K01"/>
    <n v="1"/>
    <n v="0"/>
    <s v="LAGUNA NIGUEL"/>
    <s v="SOUTH"/>
    <x v="0"/>
    <n v="18023.188275010001"/>
    <n v="14353905.304059399"/>
    <n v="329.52135055845798"/>
    <n v="68"/>
    <n v="64"/>
    <n v="0"/>
    <n v="0"/>
    <n v="0"/>
    <n v="0"/>
    <n v="98"/>
    <n v="0"/>
    <n v="0"/>
    <n v="0"/>
    <n v="0"/>
    <n v="0"/>
    <n v="0"/>
    <n v="2"/>
    <n v="3"/>
    <n v="0.8"/>
    <n v="4.6666666666667002E-2"/>
    <n v="2.6470588235294099"/>
    <n v="5.0999999999999997E-2"/>
    <n v="0.125"/>
    <n v="8.5866666666666994E-2"/>
    <s v="Direct Connection"/>
    <s v="Flowing"/>
    <s v="Flowing"/>
    <x v="1"/>
    <s v="Jun-15 - Jun-29, 14 days"/>
    <n v="1.080297E-2"/>
    <n v="8.0000000000000002E-3"/>
    <n v="0.25946292700000001"/>
    <n v="0"/>
    <n v="9.7000000000000003E-2"/>
    <n v="4.2000000000000003E-2"/>
    <n v="0"/>
    <n v="0"/>
    <n v="5.25"/>
    <n v="0"/>
    <n v="1.1493767E-2"/>
    <n v="9.7000000000000003E-2"/>
    <n v="8.0000000000000002E-3"/>
    <n v="0"/>
    <n v="9.0711809999999993E-3"/>
    <n v="9.4E-2"/>
    <n v="8.0000000000000002E-3"/>
    <n v="0"/>
    <n v="8.0000000000000002E-3"/>
    <n v="224.07451837975142"/>
    <n v="80"/>
    <n v="50"/>
    <n v="0"/>
    <n v="90"/>
    <n v="100"/>
    <n v="1"/>
    <n v="20"/>
    <n v="12.5"/>
    <n v="0"/>
    <n v="9"/>
    <n v="15"/>
    <x v="9"/>
  </r>
  <r>
    <s v="J03-9215-3"/>
    <m/>
    <n v="54"/>
    <m/>
    <m/>
    <n v="9215"/>
    <s v="J03"/>
    <n v="1"/>
    <n v="0"/>
    <s v="LAGUNA NIGUEL"/>
    <s v="SOUTH"/>
    <x v="2"/>
    <n v="12703.1876113652"/>
    <n v="6764304.9039294403"/>
    <n v="155.28755696205201"/>
    <n v="91"/>
    <n v="89"/>
    <n v="0"/>
    <n v="0"/>
    <n v="0"/>
    <n v="0"/>
    <n v="100"/>
    <n v="0"/>
    <n v="0"/>
    <n v="0"/>
    <n v="0"/>
    <n v="0"/>
    <n v="0"/>
    <n v="0"/>
    <n v="3"/>
    <n v="0.57333333333333303"/>
    <n v="0.03"/>
    <n v="1.8333333333333299"/>
    <n v="1.7000000000000001E-2"/>
    <n v="4.0800000000000003E-2"/>
    <n v="2.7171666666667E-2"/>
    <s v="Direct Connection"/>
    <s v="Flowing"/>
    <s v="Flowing"/>
    <x v="3"/>
    <s v="Jul-12 - Jul-26, 13 days"/>
    <n v="1.3396345E-2"/>
    <n v="0.01"/>
    <n v="0.25352770800000002"/>
    <n v="1E-3"/>
    <n v="0.36899999999999999"/>
    <n v="0.184"/>
    <n v="2E-3"/>
    <n v="4.0000000000000001E-3"/>
    <n v="18.399999999999899"/>
    <n v="0.2"/>
    <n v="1.2847643000000001E-2"/>
    <n v="0.33700000000000002"/>
    <n v="8.9999999999999993E-3"/>
    <n v="1E-3"/>
    <n v="1.4749999999999999E-2"/>
    <n v="0.36899999999999999"/>
    <n v="0.01"/>
    <n v="2E-3"/>
    <n v="0.01"/>
    <n v="141.31167683546732"/>
    <n v="60"/>
    <n v="50"/>
    <n v="20"/>
    <n v="70"/>
    <n v="100"/>
    <n v="1"/>
    <n v="15"/>
    <n v="12.5"/>
    <n v="5"/>
    <n v="7"/>
    <n v="15"/>
    <x v="10"/>
  </r>
  <r>
    <s v="K01-12155-5"/>
    <m/>
    <n v="48"/>
    <m/>
    <m/>
    <n v="12155"/>
    <s v="K01"/>
    <n v="1"/>
    <n v="0"/>
    <s v="LAGUNA NIGUEL"/>
    <s v="SOUTH"/>
    <x v="0"/>
    <n v="14603.3699214347"/>
    <n v="6405284.2062949203"/>
    <n v="147.045550159241"/>
    <n v="48"/>
    <n v="48"/>
    <n v="0"/>
    <n v="0"/>
    <n v="0"/>
    <n v="0"/>
    <n v="100"/>
    <n v="0"/>
    <n v="0"/>
    <n v="0"/>
    <n v="0"/>
    <n v="0"/>
    <n v="0"/>
    <n v="0"/>
    <n v="2"/>
    <n v="0.8"/>
    <n v="9.5000000000000001E-2"/>
    <n v="1.875"/>
    <n v="5.0999999999999997E-2"/>
    <n v="0.1051875"/>
    <n v="7.8093750000000003E-2"/>
    <m/>
    <m/>
    <m/>
    <x v="0"/>
    <s v="Aug- 3 - Aug-17, 14 days"/>
    <n v="1.2748479E-2"/>
    <n v="1.0999999999999999E-2"/>
    <n v="0.137151949"/>
    <n v="0"/>
    <n v="0.112"/>
    <n v="6.2E-2"/>
    <n v="0"/>
    <n v="4.0000000000000001E-3"/>
    <n v="5.6363636359999996"/>
    <n v="0"/>
    <n v="1.2451289000000001E-2"/>
    <n v="8.8999999999999996E-2"/>
    <n v="0.01"/>
    <n v="0"/>
    <n v="1.346875E-2"/>
    <n v="0.112"/>
    <n v="1.2E-2"/>
    <n v="0"/>
    <n v="1.0999999999999999E-2"/>
    <n v="70.581864076435693"/>
    <n v="70"/>
    <n v="50"/>
    <n v="0"/>
    <n v="50"/>
    <n v="40"/>
    <n v="1"/>
    <n v="17.5"/>
    <n v="12.5"/>
    <n v="0"/>
    <n v="5"/>
    <n v="6"/>
    <x v="0"/>
  </r>
  <r>
    <s v="K01-12058-2"/>
    <s v="K01P09"/>
    <n v="72"/>
    <m/>
    <m/>
    <n v="12058"/>
    <s v="K01"/>
    <n v="1"/>
    <n v="0"/>
    <s v="LAGUNA NIGUEL"/>
    <s v="SOUTH"/>
    <x v="0"/>
    <n v="16685.265945506198"/>
    <n v="12606326.933501"/>
    <n v="289.402346519167"/>
    <n v="46"/>
    <n v="44"/>
    <n v="0"/>
    <n v="0"/>
    <n v="0"/>
    <n v="0"/>
    <n v="97"/>
    <n v="0"/>
    <n v="0"/>
    <n v="0"/>
    <n v="0"/>
    <n v="0"/>
    <n v="0"/>
    <n v="3"/>
    <n v="3"/>
    <n v="0.56999999999999995"/>
    <n v="4.3333333333333002E-2"/>
    <n v="1.5"/>
    <n v="1.5299999999999999E-2"/>
    <n v="5.0999999999999997E-2"/>
    <n v="3.2937500000000001E-2"/>
    <s v="Direct Connection"/>
    <s v="Flowing"/>
    <s v="Flowing"/>
    <x v="3"/>
    <s v="Jun-15 - Jun-29, 14 days"/>
    <n v="2.6951732999999999E-2"/>
    <n v="1.2999999999999999E-2"/>
    <n v="0.51765624300000002"/>
    <n v="0"/>
    <n v="0.434"/>
    <n v="0.13800000000000001"/>
    <n v="0"/>
    <n v="0"/>
    <n v="10.61538462"/>
    <n v="0"/>
    <n v="2.8715028E-2"/>
    <n v="0.34300000000000003"/>
    <n v="1.4999999999999999E-2"/>
    <n v="0"/>
    <n v="2.2531249999999999E-2"/>
    <n v="0.434"/>
    <n v="7.0000000000000001E-3"/>
    <n v="0"/>
    <n v="1.2999999999999999E-2"/>
    <n v="133.12507939881681"/>
    <n v="60"/>
    <n v="50"/>
    <n v="0"/>
    <n v="70"/>
    <n v="100"/>
    <n v="1"/>
    <n v="15"/>
    <n v="12.5"/>
    <n v="0"/>
    <n v="7"/>
    <n v="15"/>
    <x v="11"/>
  </r>
  <r>
    <s v="J07-9109-4"/>
    <s v="J07P02"/>
    <n v="78"/>
    <m/>
    <m/>
    <n v="9109"/>
    <s v="J07"/>
    <n v="1"/>
    <n v="0"/>
    <s v="MISSION VIEJO"/>
    <s v="SOUTH"/>
    <x v="2"/>
    <n v="23940.076970886799"/>
    <n v="16663846.814778799"/>
    <n v="382.550476096024"/>
    <n v="89"/>
    <n v="66"/>
    <n v="0"/>
    <n v="0"/>
    <n v="0"/>
    <n v="0"/>
    <n v="0"/>
    <n v="0"/>
    <n v="1"/>
    <n v="99"/>
    <n v="0"/>
    <n v="0"/>
    <n v="0"/>
    <n v="0"/>
    <n v="5"/>
    <n v="3.08"/>
    <n v="0.13100000000000001"/>
    <n v="1.1510460251046"/>
    <n v="1.1900000000000001E-2"/>
    <n v="6.4016736401673597"/>
    <n v="1.3060472280334701"/>
    <s v="Direct Connection"/>
    <s v="Dry"/>
    <s v="Flowing"/>
    <x v="2"/>
    <s v="Apr-13 - May- 9, 26 days"/>
    <n v="1.8302004E-2"/>
    <n v="1.4E-2"/>
    <n v="0.235056443"/>
    <n v="0"/>
    <n v="0.621"/>
    <n v="6.5500000000000003E-2"/>
    <n v="1E-3"/>
    <n v="1.2999999999999999E-2"/>
    <n v="4.6785714289999998"/>
    <n v="7.1428570999999996E-2"/>
    <n v="1.7502991999999998E-2"/>
    <n v="0.122"/>
    <n v="1.4999999999999999E-2"/>
    <n v="0"/>
    <n v="2.0760644000000002E-2"/>
    <n v="0.621"/>
    <n v="1.2999999999999999E-2"/>
    <n v="0"/>
    <n v="1.4E-2"/>
    <n v="340.46992372546134"/>
    <n v="100"/>
    <n v="50"/>
    <n v="7.1428570999999996"/>
    <n v="90"/>
    <n v="100"/>
    <n v="1"/>
    <n v="25"/>
    <n v="12.5"/>
    <n v="1.7857142749999999"/>
    <n v="9"/>
    <n v="15"/>
    <x v="12"/>
  </r>
  <r>
    <s v="J06-9079-1"/>
    <m/>
    <n v="78"/>
    <m/>
    <m/>
    <n v="9079"/>
    <s v="J06"/>
    <n v="1"/>
    <n v="0"/>
    <s v="ALISO VIEJO"/>
    <s v="SOUTH"/>
    <x v="2"/>
    <n v="24803.009680956398"/>
    <n v="15933637.4250293"/>
    <n v="365.78712290372903"/>
    <n v="79"/>
    <n v="59"/>
    <n v="100"/>
    <n v="0"/>
    <n v="0"/>
    <n v="0"/>
    <n v="0"/>
    <n v="0"/>
    <n v="0"/>
    <n v="0"/>
    <n v="0"/>
    <n v="0"/>
    <n v="0"/>
    <n v="0"/>
    <n v="4"/>
    <n v="0.92500000000000004"/>
    <n v="3.7499999999999999E-2"/>
    <n v="1.2083333333333299"/>
    <n v="3.4000000000000002E-2"/>
    <n v="3.6266666666667002E-2"/>
    <n v="3.4672916666666997E-2"/>
    <s v="Direct Connection"/>
    <s v="Flowing"/>
    <s v="Flowing"/>
    <x v="1"/>
    <s v="Jun-24 - Jul-11, 16 days"/>
    <n v="1.7901121999999998E-2"/>
    <n v="1.6E-2"/>
    <n v="0.106201263"/>
    <n v="5.0000000000000001E-3"/>
    <n v="8.5999999999999993E-2"/>
    <n v="4.9500000000000002E-2"/>
    <n v="8.0000000000000002E-3"/>
    <n v="1.4E-2"/>
    <n v="3.09375"/>
    <n v="0.5"/>
    <n v="1.9316591000000001E-2"/>
    <n v="8.5999999999999993E-2"/>
    <n v="1.7000000000000001E-2"/>
    <n v="6.0000000000000001E-3"/>
    <n v="1.5373263999999999E-2"/>
    <n v="5.1999999999999998E-2"/>
    <n v="1.4E-2"/>
    <n v="5.0000000000000001E-3"/>
    <n v="1.6E-2"/>
    <n v="288.97182709394593"/>
    <n v="80"/>
    <n v="70"/>
    <n v="50"/>
    <n v="90"/>
    <n v="100"/>
    <n v="1"/>
    <n v="20"/>
    <n v="17.5"/>
    <n v="12.5"/>
    <n v="9"/>
    <n v="15"/>
    <x v="13"/>
  </r>
  <r>
    <s v="L01-724-4"/>
    <s v="L01P03"/>
    <n v="96"/>
    <m/>
    <m/>
    <n v="724"/>
    <s v="L01"/>
    <n v="1"/>
    <n v="0"/>
    <s v="SAN JUAN CAPISTRANO"/>
    <s v="SOUTH"/>
    <x v="1"/>
    <n v="25255.889853356101"/>
    <n v="15901177.490108101"/>
    <n v="365.04194301242501"/>
    <n v="66"/>
    <n v="55"/>
    <n v="0"/>
    <n v="0"/>
    <n v="0"/>
    <n v="0"/>
    <n v="27"/>
    <n v="0"/>
    <n v="0"/>
    <n v="0"/>
    <n v="0"/>
    <n v="0"/>
    <n v="0"/>
    <n v="73"/>
    <n v="2"/>
    <n v="0.92500000000000004"/>
    <n v="4.2500000000000003E-2"/>
    <n v="1.35"/>
    <n v="3.0345E-2"/>
    <n v="6.3750000000000001E-2"/>
    <n v="4.7047499999999999E-2"/>
    <m/>
    <m/>
    <m/>
    <x v="0"/>
    <s v="Mar-17 - Mar-21, 3 days"/>
    <n v="2.6163539E-2"/>
    <n v="1.6E-2"/>
    <n v="0.38846193299999998"/>
    <n v="0"/>
    <n v="0.372"/>
    <n v="3.2000000000000001E-2"/>
    <n v="1E-3"/>
    <n v="1.2999999999999999E-2"/>
    <n v="2"/>
    <n v="6.25E-2"/>
    <n v="1.5558011E-2"/>
    <n v="3.7999999999999999E-2"/>
    <n v="1.6E-2"/>
    <n v="0"/>
    <n v="3.6161458E-2"/>
    <n v="0.372"/>
    <n v="1.6E-2"/>
    <n v="0"/>
    <n v="1.6E-2"/>
    <n v="240.92768238820051"/>
    <n v="70"/>
    <n v="70"/>
    <n v="6.25"/>
    <n v="90"/>
    <n v="40"/>
    <n v="1"/>
    <n v="17.5"/>
    <n v="17.5"/>
    <n v="1.5625"/>
    <n v="9"/>
    <n v="6"/>
    <x v="14"/>
  </r>
  <r>
    <s v="L03-141-1"/>
    <m/>
    <n v="84"/>
    <m/>
    <m/>
    <n v="141"/>
    <s v="L03"/>
    <n v="1"/>
    <n v="0"/>
    <s v="MISSION VIEJO"/>
    <s v="SOUTH"/>
    <x v="1"/>
    <n v="38367.529706358"/>
    <n v="37305715.486433402"/>
    <n v="856.42405256516099"/>
    <n v="24"/>
    <n v="12"/>
    <n v="0"/>
    <n v="0"/>
    <n v="0"/>
    <n v="0"/>
    <n v="0"/>
    <n v="0"/>
    <n v="0"/>
    <n v="27"/>
    <n v="39"/>
    <n v="34"/>
    <n v="0"/>
    <n v="0"/>
    <n v="2"/>
    <n v="1.05"/>
    <n v="0.06"/>
    <n v="0.24620060790273601"/>
    <n v="4.3714285714289997E-3"/>
    <n v="8.3010638297870004E-3"/>
    <n v="6.3362462006080001E-3"/>
    <s v="Direct Connection"/>
    <m/>
    <s v="Flowing"/>
    <x v="2"/>
    <s v="Jun- 2 - Jun-14, 12 days"/>
    <n v="2.0824537000000001E-2"/>
    <n v="1.6E-2"/>
    <n v="0.23167560800000001"/>
    <n v="0"/>
    <n v="0.254"/>
    <n v="7.5999999999999998E-2"/>
    <n v="3.0000000000000001E-3"/>
    <n v="1.2E-2"/>
    <n v="4.75"/>
    <n v="0.1875"/>
    <n v="2.0912666E-2"/>
    <n v="0.254"/>
    <n v="1.6E-2"/>
    <n v="0"/>
    <n v="2.0644791999999999E-2"/>
    <n v="0.158"/>
    <n v="1.7999999999999999E-2"/>
    <n v="0"/>
    <n v="1.6E-2"/>
    <n v="205.54177261563862"/>
    <n v="100"/>
    <n v="70"/>
    <n v="18.75"/>
    <n v="70"/>
    <n v="100"/>
    <n v="1"/>
    <n v="25"/>
    <n v="17.5"/>
    <n v="4.6875"/>
    <n v="7"/>
    <n v="15"/>
    <x v="15"/>
  </r>
  <r>
    <s v="J01-9224-2"/>
    <s v="J01P25"/>
    <n v="39"/>
    <m/>
    <m/>
    <n v="9224"/>
    <s v="J01"/>
    <n v="1"/>
    <n v="0"/>
    <s v="LAGUNA NIGUEL"/>
    <s v="SOUTH"/>
    <x v="2"/>
    <n v="14688.682923648201"/>
    <n v="9690643.8780673593"/>
    <n v="222.46726523817301"/>
    <n v="98"/>
    <n v="0"/>
    <n v="2"/>
    <n v="0"/>
    <n v="0"/>
    <n v="0"/>
    <n v="98"/>
    <n v="0"/>
    <n v="0"/>
    <n v="0"/>
    <n v="0"/>
    <n v="0"/>
    <n v="0"/>
    <n v="0"/>
    <n v="3"/>
    <n v="0.8"/>
    <n v="6.3333333333333006E-2"/>
    <n v="1.7333333333333301"/>
    <n v="4.0800000000000003E-2"/>
    <n v="0.12239999999999999"/>
    <n v="7.3440000000000005E-2"/>
    <s v="Direct Connection"/>
    <s v="Flowing"/>
    <s v="Flowing"/>
    <x v="3"/>
    <s v="Jul-27 - Aug-11, 14 days"/>
    <n v="2.0631579000000001E-2"/>
    <n v="2.1000000000000001E-2"/>
    <n v="-1.7857142999999999E-2"/>
    <n v="1.7999999999999999E-2"/>
    <n v="2.4E-2"/>
    <n v="2.3E-2"/>
    <n v="1.9E-2"/>
    <n v="0.02"/>
    <n v="1.095238095"/>
    <n v="0.90476190499999998"/>
    <n v="2.0610894000000001E-2"/>
    <n v="2.4E-2"/>
    <n v="2.1000000000000001E-2"/>
    <n v="1.7999999999999999E-2"/>
    <n v="2.0686632E-2"/>
    <n v="2.3E-2"/>
    <n v="2.1000000000000001E-2"/>
    <n v="1.9E-2"/>
    <n v="2.1000000000000001E-2"/>
    <n v="218.01791993340953"/>
    <n v="60"/>
    <n v="70"/>
    <n v="90.476190500000001"/>
    <n v="70"/>
    <n v="100"/>
    <n v="1"/>
    <n v="15"/>
    <n v="17.5"/>
    <n v="22.619047625"/>
    <n v="7"/>
    <n v="15"/>
    <x v="16"/>
  </r>
  <r>
    <s v="L02-246-1"/>
    <s v="L11P01"/>
    <n v="66"/>
    <m/>
    <m/>
    <n v="640"/>
    <s v="L02"/>
    <n v="1"/>
    <n v="0"/>
    <s v="RANCHO SANTA MARGARITA"/>
    <s v="SOUTH"/>
    <x v="1"/>
    <n v="15443.3881386796"/>
    <n v="9932960.3262872808"/>
    <n v="228.030102778795"/>
    <n v="95"/>
    <n v="86"/>
    <n v="0"/>
    <n v="0"/>
    <n v="0"/>
    <n v="0"/>
    <n v="0"/>
    <n v="0"/>
    <n v="0"/>
    <n v="0"/>
    <n v="0"/>
    <n v="100"/>
    <n v="0"/>
    <n v="0"/>
    <n v="2"/>
    <n v="0.97499999999999998"/>
    <n v="0.08"/>
    <n v="0.75"/>
    <n v="2.9006250000000001E-2"/>
    <n v="7.4587500000000001E-2"/>
    <n v="5.1796874999999999E-2"/>
    <s v="Direct Connection"/>
    <s v="Flowing"/>
    <s v="Flowing"/>
    <x v="1"/>
    <s v="Jun-16 - Jun-30, 13 days"/>
    <n v="2.7654410000000001E-2"/>
    <n v="2.7E-2"/>
    <n v="2.366385E-2"/>
    <n v="7.0000000000000001E-3"/>
    <n v="6.7000000000000004E-2"/>
    <n v="5.0999999999999997E-2"/>
    <n v="1.7999999999999999E-2"/>
    <n v="2.4E-2"/>
    <n v="1.888888889"/>
    <n v="0.66666666699999999"/>
    <n v="2.7839789E-2"/>
    <n v="6.7000000000000004E-2"/>
    <n v="2.8000000000000001E-2"/>
    <n v="7.0000000000000001E-3"/>
    <n v="2.7203839E-2"/>
    <n v="6.0999999999999999E-2"/>
    <n v="2.5999999999999999E-2"/>
    <n v="1.0999999999999999E-2"/>
    <n v="2.7E-2"/>
    <n v="216.62859763985526"/>
    <n v="80"/>
    <n v="70"/>
    <n v="66.666666699999993"/>
    <n v="70"/>
    <n v="100"/>
    <n v="1"/>
    <n v="20"/>
    <n v="17.5"/>
    <n v="16.666666674999998"/>
    <n v="7"/>
    <n v="15"/>
    <x v="17"/>
  </r>
  <r>
    <s v="J03-9234-6"/>
    <m/>
    <n v="78"/>
    <m/>
    <m/>
    <n v="9234"/>
    <s v="J03"/>
    <n v="1"/>
    <n v="0"/>
    <s v="LAGUNA NIGUEL"/>
    <s v="SOUTH"/>
    <x v="2"/>
    <n v="20544.948683509101"/>
    <n v="10109842.9494379"/>
    <n v="232.090781711548"/>
    <n v="89"/>
    <n v="86"/>
    <n v="0"/>
    <n v="0"/>
    <n v="0"/>
    <n v="0"/>
    <n v="99"/>
    <n v="0"/>
    <n v="0"/>
    <n v="0"/>
    <n v="0"/>
    <n v="0"/>
    <n v="0"/>
    <n v="1"/>
    <n v="2"/>
    <n v="1.05"/>
    <n v="0.78500000000000003"/>
    <n v="2.8571428571428501"/>
    <n v="0.12239999999999999"/>
    <n v="4.59"/>
    <n v="2.3561999999999999"/>
    <s v="Partial"/>
    <s v="Flowing"/>
    <s v="Flowing"/>
    <x v="1"/>
    <s v="Aug- 3 - Aug-17, 13 days"/>
    <n v="4.2776977000000001E-2"/>
    <n v="3.5999999999999997E-2"/>
    <n v="0.15842579700000001"/>
    <n v="0"/>
    <n v="0.33100000000000002"/>
    <n v="0.14099999999999999"/>
    <n v="3.0000000000000001E-3"/>
    <n v="0.02"/>
    <n v="3.9166666669999999"/>
    <n v="8.3333332999999996E-2"/>
    <n v="3.9260976000000003E-2"/>
    <n v="0.33100000000000002"/>
    <n v="3.4000000000000002E-2"/>
    <n v="0"/>
    <n v="5.1536458E-2"/>
    <n v="0.185"/>
    <n v="4.1000000000000002E-2"/>
    <n v="0"/>
    <n v="3.5999999999999997E-2"/>
    <n v="206.56079572327772"/>
    <n v="80"/>
    <n v="70"/>
    <n v="8.3333332999999996"/>
    <n v="70"/>
    <n v="100"/>
    <n v="0.5"/>
    <n v="10"/>
    <n v="8.75"/>
    <n v="1.0416666625"/>
    <n v="3.5"/>
    <n v="7.5"/>
    <x v="18"/>
  </r>
  <r>
    <s v="L03-662-3"/>
    <s v="L03P16"/>
    <n v="60"/>
    <m/>
    <m/>
    <n v="662"/>
    <s v="L03"/>
    <n v="1"/>
    <n v="0"/>
    <s v="MISSION VIEJO"/>
    <s v="SOUTH"/>
    <x v="1"/>
    <n v="31558.079220043601"/>
    <n v="20345404.107941199"/>
    <n v="467.067665369812"/>
    <n v="67"/>
    <n v="63"/>
    <n v="0"/>
    <n v="0"/>
    <n v="0"/>
    <n v="0"/>
    <n v="0"/>
    <n v="0"/>
    <n v="0"/>
    <n v="100"/>
    <n v="0"/>
    <n v="0"/>
    <n v="0"/>
    <n v="0"/>
    <n v="2"/>
    <n v="0.95"/>
    <n v="0.05"/>
    <n v="1.6875"/>
    <n v="5.7375000000000002E-2"/>
    <n v="7.6499999999999999E-2"/>
    <n v="6.6937499999999997E-2"/>
    <s v="Direct Connection"/>
    <m/>
    <s v="Flowing"/>
    <x v="2"/>
    <s v="May-31 - Jun-14, 13 days"/>
    <n v="4.1715336999999998E-2"/>
    <n v="3.6999999999999998E-2"/>
    <n v="0.11303606099999999"/>
    <n v="0"/>
    <n v="0.125"/>
    <n v="9.1999999999999998E-2"/>
    <n v="1.4999999999999999E-2"/>
    <n v="2.5000000000000001E-2"/>
    <n v="2.486486486"/>
    <n v="0.405405405"/>
    <n v="4.5379564999999997E-2"/>
    <n v="0.125"/>
    <n v="0.04"/>
    <n v="0"/>
    <n v="3.2936458000000002E-2"/>
    <n v="0.1"/>
    <n v="3.2000000000000001E-2"/>
    <n v="1.2999999999999999E-2"/>
    <n v="3.6999999999999998E-2"/>
    <n v="312.93533579777409"/>
    <n v="100"/>
    <n v="70"/>
    <n v="40.540540499999999"/>
    <n v="90"/>
    <n v="100"/>
    <n v="1"/>
    <n v="25"/>
    <n v="17.5"/>
    <n v="10.135135125"/>
    <n v="9"/>
    <n v="15"/>
    <x v="19"/>
  </r>
  <r>
    <s v="L03-418-8"/>
    <m/>
    <n v="66"/>
    <m/>
    <m/>
    <n v="418"/>
    <s v="L03"/>
    <n v="1"/>
    <n v="0"/>
    <s v="LAGUNA NIGUEL"/>
    <s v="SOUTH"/>
    <x v="1"/>
    <n v="18928.911719135602"/>
    <n v="9171460.67367284"/>
    <n v="210.54842175444401"/>
    <n v="91"/>
    <n v="37"/>
    <n v="0"/>
    <n v="0"/>
    <n v="0"/>
    <n v="0"/>
    <n v="10"/>
    <n v="0"/>
    <n v="0"/>
    <n v="90"/>
    <n v="0"/>
    <n v="0"/>
    <n v="0"/>
    <n v="0"/>
    <n v="3"/>
    <n v="1.31666666666666"/>
    <n v="6.3333333333333006E-2"/>
    <n v="1.0249999999999999"/>
    <n v="4.335E-2"/>
    <n v="7.3440000000000005E-2"/>
    <n v="6.1242499999999998E-2"/>
    <s v="Direct Connection"/>
    <s v="Flowing"/>
    <s v="Flowing"/>
    <x v="1"/>
    <s v="Jun-16 - Jun-30, 13 days"/>
    <n v="5.2325516000000002E-2"/>
    <n v="3.7999999999999999E-2"/>
    <n v="0.27377687299999998"/>
    <n v="0"/>
    <n v="1.01"/>
    <n v="0.17699999999999999"/>
    <n v="7.0000000000000001E-3"/>
    <n v="1.9E-2"/>
    <n v="4.6578947370000003"/>
    <n v="0.18421052600000001"/>
    <n v="5.3454185000000001E-2"/>
    <n v="0.81699999999999995"/>
    <n v="0.04"/>
    <n v="0"/>
    <n v="4.9607298000000001E-2"/>
    <n v="1.01"/>
    <n v="3.3000000000000002E-2"/>
    <n v="0"/>
    <n v="3.7999999999999999E-2"/>
    <n v="191.59906379654404"/>
    <n v="80"/>
    <n v="70"/>
    <n v="18.421052600000003"/>
    <n v="70"/>
    <n v="100"/>
    <n v="1"/>
    <n v="20"/>
    <n v="17.5"/>
    <n v="4.6052631500000007"/>
    <n v="7"/>
    <n v="15"/>
    <x v="20"/>
  </r>
  <r>
    <s v="M01-050-4"/>
    <s v="M01@CGV"/>
    <n v="48"/>
    <m/>
    <m/>
    <n v="50"/>
    <s v="M01"/>
    <n v="1"/>
    <n v="0"/>
    <s v="SAN CLEMENTE"/>
    <s v="SOUTH"/>
    <x v="3"/>
    <n v="71834.500981378194"/>
    <n v="163657395.21656099"/>
    <n v="3757.0685300110699"/>
    <n v="47"/>
    <n v="33"/>
    <n v="0"/>
    <n v="0"/>
    <n v="0"/>
    <n v="0"/>
    <n v="0"/>
    <n v="0"/>
    <n v="0"/>
    <n v="0"/>
    <n v="17"/>
    <n v="0"/>
    <n v="62"/>
    <n v="21"/>
    <n v="2"/>
    <n v="0.8"/>
    <n v="3.2500000000000001E-2"/>
    <n v="1.125"/>
    <n v="1.115625E-2"/>
    <n v="4.5900000000000003E-2"/>
    <n v="2.8528125000000001E-2"/>
    <m/>
    <m/>
    <m/>
    <x v="0"/>
    <s v="Jul-19 - Aug- 1, 12 days"/>
    <n v="4.3891215999999997E-2"/>
    <n v="4.2999999999999997E-2"/>
    <n v="2.0305103000000001E-2"/>
    <n v="1.2E-2"/>
    <n v="0.11899999999999999"/>
    <n v="8.7499999999999994E-2"/>
    <n v="1.9E-2"/>
    <n v="2.9000000000000001E-2"/>
    <n v="2.0348837209999999"/>
    <n v="0.44186046499999998"/>
    <n v="4.2498613999999997E-2"/>
    <n v="0.11899999999999999"/>
    <n v="4.2999999999999997E-2"/>
    <n v="1.2E-2"/>
    <n v="4.6943576000000001E-2"/>
    <n v="0.1"/>
    <n v="4.3999999999999997E-2"/>
    <n v="1.9E-2"/>
    <n v="4.2999999999999997E-2"/>
    <n v="1765.822209105203"/>
    <n v="70"/>
    <n v="90"/>
    <n v="44.186046499999996"/>
    <n v="100"/>
    <n v="40"/>
    <n v="1"/>
    <n v="17.5"/>
    <n v="22.5"/>
    <n v="11.046511624999999"/>
    <n v="10"/>
    <n v="6"/>
    <x v="21"/>
  </r>
  <r>
    <s v="L02-166-2"/>
    <s v="L02P25"/>
    <n v="90"/>
    <m/>
    <m/>
    <n v="166"/>
    <s v="L02"/>
    <n v="1"/>
    <n v="0"/>
    <s v="RANCHO SANTA MARGARITA"/>
    <s v="SOUTH"/>
    <x v="1"/>
    <n v="24414.986770187199"/>
    <n v="16057343.476462699"/>
    <n v="368.62703192340501"/>
    <n v="88"/>
    <n v="87"/>
    <n v="0"/>
    <n v="0"/>
    <n v="0"/>
    <n v="0"/>
    <n v="0"/>
    <n v="0"/>
    <n v="0"/>
    <n v="33"/>
    <n v="0"/>
    <n v="67"/>
    <n v="0"/>
    <n v="0"/>
    <n v="1"/>
    <n v="1.54"/>
    <n v="0.06"/>
    <n v="1"/>
    <n v="7.8539999999999999E-2"/>
    <n v="7.8539999999999999E-2"/>
    <n v="7.8539999999999999E-2"/>
    <m/>
    <m/>
    <m/>
    <x v="0"/>
    <s v="Apr- 6 - May- 3, 27 days"/>
    <n v="5.2055789999999998E-2"/>
    <n v="0.05"/>
    <n v="3.9492054999999998E-2"/>
    <n v="4.0000000000000001E-3"/>
    <n v="0.44"/>
    <n v="0.11899999999999999"/>
    <n v="1.2999999999999999E-2"/>
    <n v="6.6000000000000003E-2"/>
    <n v="2.38"/>
    <n v="0.26"/>
    <n v="5.1021258999999999E-2"/>
    <n v="0.44"/>
    <n v="0.05"/>
    <n v="4.0000000000000001E-3"/>
    <n v="5.4964368E-2"/>
    <n v="0.4"/>
    <n v="5.0999999999999997E-2"/>
    <n v="5.0000000000000001E-3"/>
    <n v="0.05"/>
    <n v="324.39178809259641"/>
    <n v="70"/>
    <n v="90"/>
    <n v="26"/>
    <n v="90"/>
    <n v="20"/>
    <n v="1"/>
    <n v="17.5"/>
    <n v="22.5"/>
    <n v="6.5"/>
    <n v="9"/>
    <n v="3"/>
    <x v="22"/>
  </r>
  <r>
    <s v="M02-085-1"/>
    <s v="M02P06"/>
    <n v="48"/>
    <m/>
    <m/>
    <n v="85"/>
    <s v="M02"/>
    <n v="1"/>
    <n v="0"/>
    <s v="SAN CLEMENTE"/>
    <s v="SOUTH"/>
    <x v="3"/>
    <n v="22182.308562730799"/>
    <n v="16230277.496748401"/>
    <n v="372.59706312501299"/>
    <n v="50"/>
    <n v="48"/>
    <n v="0"/>
    <n v="0"/>
    <n v="0"/>
    <n v="0"/>
    <n v="0"/>
    <n v="0"/>
    <n v="0"/>
    <n v="0"/>
    <n v="0"/>
    <n v="0"/>
    <n v="100"/>
    <n v="0"/>
    <n v="2"/>
    <n v="0.6"/>
    <n v="3.7499999999999999E-2"/>
    <n v="1.6666666666666601"/>
    <n v="2.7199999999999998E-2"/>
    <n v="3.5700000000000003E-2"/>
    <n v="3.1449999999999999E-2"/>
    <s v="Direct Connection"/>
    <s v="Flowing"/>
    <s v="Flowing"/>
    <x v="1"/>
    <s v="Jul-15 - Jul-29, 13 days"/>
    <n v="5.6779574999999999E-2"/>
    <n v="0.05"/>
    <n v="0.11940165599999999"/>
    <n v="0"/>
    <n v="0.23599999999999999"/>
    <n v="0.13800000000000001"/>
    <n v="1.2999999999999999E-2"/>
    <n v="0.04"/>
    <n v="2.76"/>
    <n v="0.26"/>
    <n v="5.8271755000000001E-2"/>
    <n v="0.22"/>
    <n v="5.1999999999999998E-2"/>
    <n v="0"/>
    <n v="5.3147568999999999E-2"/>
    <n v="0.23599999999999999"/>
    <n v="4.8000000000000001E-2"/>
    <n v="3.0000000000000001E-3"/>
    <n v="0.05"/>
    <n v="186.2985315625065"/>
    <n v="80"/>
    <n v="90"/>
    <n v="26"/>
    <n v="70"/>
    <n v="100"/>
    <n v="1"/>
    <n v="20"/>
    <n v="22.5"/>
    <n v="6.5"/>
    <n v="7"/>
    <n v="15"/>
    <x v="23"/>
  </r>
  <r>
    <s v="J01-9005-1"/>
    <s v="J03P05"/>
    <n v="54"/>
    <m/>
    <m/>
    <n v="9005"/>
    <s v="J01"/>
    <n v="1"/>
    <n v="0"/>
    <s v="LAGUNA NIGUEL"/>
    <s v="SOUTH"/>
    <x v="2"/>
    <n v="13737.5431672248"/>
    <n v="5566534.2872691201"/>
    <n v="127.790441515043"/>
    <n v="81"/>
    <n v="81"/>
    <n v="0"/>
    <n v="0"/>
    <n v="0"/>
    <n v="0"/>
    <n v="100"/>
    <n v="0"/>
    <n v="0"/>
    <n v="0"/>
    <n v="0"/>
    <n v="0"/>
    <n v="0"/>
    <n v="0"/>
    <n v="3"/>
    <n v="0.76666666666666705"/>
    <n v="0.03"/>
    <n v="1.0888888888888799"/>
    <n v="1.3599999999999999E-2"/>
    <n v="2.0400000000000001E-2"/>
    <n v="1.7000000000000001E-2"/>
    <s v="Direct Connection"/>
    <s v="Flowing"/>
    <s v="Flowing"/>
    <x v="3"/>
    <s v="Jul-12 - Jul-26, 13 days"/>
    <n v="5.7142635999999997E-2"/>
    <n v="5.3999999999999999E-2"/>
    <n v="5.4996344000000003E-2"/>
    <n v="8.9999999999999993E-3"/>
    <n v="0.21099999999999999"/>
    <n v="0.14099999999999999"/>
    <n v="1.9E-2"/>
    <n v="7.5999999999999998E-2"/>
    <n v="2.611111111"/>
    <n v="0.35185185200000002"/>
    <n v="5.8122568999999999E-2"/>
    <n v="0.21099999999999999"/>
    <n v="5.3999999999999999E-2"/>
    <n v="8.9999999999999993E-3"/>
    <n v="5.4824653000000001E-2"/>
    <n v="0.157"/>
    <n v="5.1999999999999998E-2"/>
    <n v="1.4E-2"/>
    <n v="5.3999999999999999E-2"/>
    <n v="103.51025762718484"/>
    <n v="60"/>
    <n v="90"/>
    <n v="35.185185199999999"/>
    <n v="50"/>
    <n v="100"/>
    <n v="1"/>
    <n v="15"/>
    <n v="22.5"/>
    <n v="8.7962962999999998"/>
    <n v="5"/>
    <n v="15"/>
    <x v="24"/>
  </r>
  <r>
    <s v="J01-9082-2"/>
    <m/>
    <n v="72"/>
    <m/>
    <m/>
    <n v="9082"/>
    <s v="J01"/>
    <n v="1"/>
    <n v="0"/>
    <s v="ALISO VIEJO"/>
    <s v="SOUTH"/>
    <x v="2"/>
    <n v="10619.0299810373"/>
    <n v="5430205.8138061604"/>
    <n v="124.660760655133"/>
    <n v="84"/>
    <n v="82"/>
    <n v="98"/>
    <n v="0"/>
    <n v="0"/>
    <n v="0"/>
    <n v="0"/>
    <n v="0"/>
    <n v="0"/>
    <n v="0"/>
    <n v="2"/>
    <n v="0"/>
    <n v="0"/>
    <n v="0"/>
    <n v="1"/>
    <n v="1.7"/>
    <n v="0.14000000000000001"/>
    <n v="1.5"/>
    <n v="0.30345"/>
    <n v="0.30345"/>
    <n v="0.30345"/>
    <m/>
    <m/>
    <m/>
    <x v="0"/>
    <s v="Jun- 9 - Jun-24, 14 days"/>
    <n v="6.4249941000000005E-2"/>
    <n v="5.8999999999999997E-2"/>
    <n v="8.1711215000000004E-2"/>
    <n v="2E-3"/>
    <n v="0.30199999999999999"/>
    <n v="0.13200000000000001"/>
    <n v="1.4E-2"/>
    <n v="4.9000000000000002E-2"/>
    <n v="2.2372881360000001"/>
    <n v="0.23728813600000001"/>
    <n v="6.1764436999999998E-2"/>
    <n v="0.30199999999999999"/>
    <n v="5.8999999999999997E-2"/>
    <n v="2E-3"/>
    <n v="7.0862847000000007E-2"/>
    <n v="0.27800000000000002"/>
    <n v="5.8500000000000003E-2"/>
    <n v="8.0000000000000002E-3"/>
    <n v="5.8999999999999997E-2"/>
    <n v="104.71503895031172"/>
    <n v="70"/>
    <n v="90"/>
    <n v="23.728813600000002"/>
    <n v="50"/>
    <n v="20"/>
    <n v="1"/>
    <n v="17.5"/>
    <n v="22.5"/>
    <n v="5.9322034000000006"/>
    <n v="5"/>
    <n v="3"/>
    <x v="25"/>
  </r>
  <r>
    <s v="L02-374-1"/>
    <s v="L02P50"/>
    <n v="102"/>
    <m/>
    <m/>
    <n v="374"/>
    <s v="L02"/>
    <n v="1"/>
    <n v="0"/>
    <s v="ORANGE CO"/>
    <s v="SOUTH"/>
    <x v="1"/>
    <n v="26436.379007568099"/>
    <n v="19708226.332956798"/>
    <n v="452.44003083335502"/>
    <n v="62"/>
    <n v="52"/>
    <n v="0"/>
    <n v="0"/>
    <n v="0"/>
    <n v="0"/>
    <n v="0"/>
    <n v="0"/>
    <n v="0"/>
    <n v="0"/>
    <n v="100"/>
    <n v="0"/>
    <n v="0"/>
    <n v="0"/>
    <n v="1"/>
    <n v="1.1399999999999999"/>
    <n v="0.4"/>
    <n v="1.5"/>
    <n v="0.58140000000000003"/>
    <n v="0.58140000000000003"/>
    <n v="0.58140000000000003"/>
    <s v="Direct Connection"/>
    <s v="Flowing"/>
    <s v="Flowing"/>
    <x v="1"/>
    <s v="May-25 - Jun- 8, 13 days"/>
    <n v="6.7563718999999994E-2"/>
    <n v="6.2E-2"/>
    <n v="8.2347735000000005E-2"/>
    <n v="0"/>
    <n v="0.32500000000000001"/>
    <n v="0.217"/>
    <n v="8.0000000000000002E-3"/>
    <n v="7.1999999999999995E-2"/>
    <n v="3.5"/>
    <n v="0.12903225800000001"/>
    <n v="6.7068336000000006E-2"/>
    <n v="0.32500000000000001"/>
    <n v="6.2E-2"/>
    <n v="0"/>
    <n v="6.8765624999999997E-2"/>
    <n v="0.24199999999999999"/>
    <n v="6.0999999999999999E-2"/>
    <n v="6.0000000000000001E-3"/>
    <n v="6.2E-2"/>
    <n v="280.51281911668013"/>
    <n v="80"/>
    <n v="90"/>
    <n v="12.903225800000001"/>
    <n v="90"/>
    <n v="80"/>
    <n v="1"/>
    <n v="20"/>
    <n v="22.5"/>
    <n v="3.2258064500000003"/>
    <n v="9"/>
    <n v="12"/>
    <x v="26"/>
  </r>
  <r>
    <s v="J01-9007-1"/>
    <m/>
    <n v="66"/>
    <m/>
    <m/>
    <n v="9007"/>
    <s v="J01"/>
    <n v="1"/>
    <n v="0"/>
    <s v="ALISO VIEJO"/>
    <s v="SOUTH"/>
    <x v="2"/>
    <n v="12832.363038887301"/>
    <n v="6342864.1189773902"/>
    <n v="145.61257766575201"/>
    <n v="87"/>
    <n v="78"/>
    <n v="98"/>
    <n v="0"/>
    <n v="0"/>
    <n v="0"/>
    <n v="0"/>
    <n v="0"/>
    <n v="0"/>
    <n v="0"/>
    <n v="2"/>
    <n v="0"/>
    <n v="0"/>
    <n v="0"/>
    <n v="3"/>
    <n v="0.8"/>
    <n v="0.05"/>
    <n v="2.5362318840579698"/>
    <n v="5.0999999999999997E-2"/>
    <n v="0.113086956521739"/>
    <n v="8.8695652173912995E-2"/>
    <s v="Direct Connection"/>
    <s v="Flowing"/>
    <s v="Flowing"/>
    <x v="2"/>
    <s v="Jun-10 - Jun-24, 13 days"/>
    <n v="6.9006286E-2"/>
    <n v="6.6000000000000003E-2"/>
    <n v="4.3565394E-2"/>
    <n v="0"/>
    <n v="0.45800000000000002"/>
    <n v="0.189"/>
    <n v="1.4999999999999999E-2"/>
    <n v="0.05"/>
    <n v="2.863636364"/>
    <n v="0.22727272700000001"/>
    <n v="6.8313203000000003E-2"/>
    <n v="0.30499999999999999"/>
    <n v="6.5000000000000002E-2"/>
    <n v="0"/>
    <n v="7.0610243000000003E-2"/>
    <n v="0.45800000000000002"/>
    <n v="6.7000000000000004E-2"/>
    <n v="1.2E-2"/>
    <n v="6.6000000000000003E-2"/>
    <n v="126.68294256920426"/>
    <n v="100"/>
    <n v="90"/>
    <n v="22.7272727"/>
    <n v="70"/>
    <n v="100"/>
    <n v="1"/>
    <n v="25"/>
    <n v="22.5"/>
    <n v="5.6818181750000001"/>
    <n v="7"/>
    <n v="15"/>
    <x v="27"/>
  </r>
  <r>
    <s v="L03-073-3"/>
    <m/>
    <n v="108"/>
    <m/>
    <m/>
    <n v="73"/>
    <s v="L03"/>
    <n v="1"/>
    <n v="0"/>
    <s v="MISSION VIEJO"/>
    <s v="SOUTH"/>
    <x v="1"/>
    <n v="48405.067521432698"/>
    <n v="49638756.008291103"/>
    <n v="1139.55258679796"/>
    <n v="39"/>
    <n v="28"/>
    <n v="0"/>
    <n v="0"/>
    <n v="0"/>
    <n v="0"/>
    <n v="0"/>
    <n v="0"/>
    <n v="0"/>
    <n v="45"/>
    <n v="29"/>
    <n v="26"/>
    <n v="0"/>
    <n v="0"/>
    <n v="3"/>
    <n v="1.56666666666666"/>
    <n v="0.103333333333333"/>
    <n v="0.83333333333333304"/>
    <n v="0.10199999999999999"/>
    <n v="0.1105"/>
    <n v="0.104833333333333"/>
    <s v="Direct Connection"/>
    <s v="Flowing"/>
    <s v="Flowing"/>
    <x v="1"/>
    <s v="Jul- 1 - Jul-18, 16 days"/>
    <n v="0.10516911600000001"/>
    <n v="9.7000000000000003E-2"/>
    <n v="7.7675998999999996E-2"/>
    <n v="3.1E-2"/>
    <n v="0.58799999999999997"/>
    <n v="0.20399999999999999"/>
    <n v="5.45E-2"/>
    <n v="6.8000000000000005E-2"/>
    <n v="2.1030927840000002"/>
    <n v="0.56185567000000003"/>
    <n v="0.104883661"/>
    <n v="0.58799999999999997"/>
    <n v="9.7000000000000003E-2"/>
    <n v="3.5999999999999997E-2"/>
    <n v="0.105681713"/>
    <n v="0.30399999999999999"/>
    <n v="9.6000000000000002E-2"/>
    <n v="3.1E-2"/>
    <n v="9.7000000000000003E-2"/>
    <n v="444.42550885120437"/>
    <n v="80"/>
    <n v="90"/>
    <n v="56.185567000000006"/>
    <n v="90"/>
    <n v="100"/>
    <n v="1"/>
    <n v="20"/>
    <n v="22.5"/>
    <n v="14.046391750000002"/>
    <n v="9"/>
    <n v="15"/>
    <x v="28"/>
  </r>
  <r>
    <s v="J01-10004-1"/>
    <s v="munger"/>
    <m/>
    <n v="5.5"/>
    <n v="9"/>
    <n v="10004"/>
    <s v="J01"/>
    <n v="1"/>
    <n v="1"/>
    <s v="LAKE FOREST"/>
    <s v="SOUTH"/>
    <x v="2"/>
    <n v="33917.762698888597"/>
    <n v="20903845.682929698"/>
    <n v="479.88775983888598"/>
    <n v="75"/>
    <n v="70"/>
    <n v="0"/>
    <n v="0"/>
    <n v="0"/>
    <n v="0"/>
    <n v="0"/>
    <n v="0"/>
    <n v="100"/>
    <n v="0"/>
    <n v="0"/>
    <n v="0"/>
    <n v="0"/>
    <n v="0"/>
    <m/>
    <m/>
    <m/>
    <m/>
    <m/>
    <m/>
    <m/>
    <m/>
    <m/>
    <m/>
    <x v="0"/>
    <s v="Jul-19 - Jul-31, 12 days"/>
    <n v="0.101816878"/>
    <n v="9.9000000000000005E-2"/>
    <n v="2.7666120999999998E-2"/>
    <n v="7.8E-2"/>
    <n v="0.14099999999999999"/>
    <n v="0.121"/>
    <n v="0.09"/>
    <n v="9.7000000000000003E-2"/>
    <n v="1.2222222220000001"/>
    <n v="0.909090909"/>
    <n v="0.102691378"/>
    <n v="0.13500000000000001"/>
    <n v="0.1"/>
    <n v="8.1000000000000003E-2"/>
    <n v="9.9919579999999994E-2"/>
    <n v="0.14099999999999999"/>
    <n v="9.9000000000000005E-2"/>
    <n v="7.8E-2"/>
    <n v="9.9000000000000005E-2"/>
    <n v="359.91581987916447"/>
    <n v="70"/>
    <n v="90"/>
    <n v="90.909090899999995"/>
    <n v="90"/>
    <n v="20"/>
    <n v="1"/>
    <n v="17.5"/>
    <n v="22.5"/>
    <n v="22.727272724999999"/>
    <n v="9"/>
    <n v="3"/>
    <x v="29"/>
  </r>
  <r>
    <s v="J01-9066-2"/>
    <m/>
    <n v="81"/>
    <m/>
    <m/>
    <n v="9066"/>
    <s v="J01"/>
    <n v="1"/>
    <n v="0"/>
    <s v="LAKE FOREST"/>
    <s v="SOUTH"/>
    <x v="2"/>
    <n v="21320.3851644354"/>
    <n v="18310358.859985098"/>
    <n v="420.34930933019098"/>
    <n v="95"/>
    <n v="48"/>
    <n v="0"/>
    <n v="0"/>
    <n v="0"/>
    <n v="0"/>
    <n v="0"/>
    <n v="0"/>
    <n v="1"/>
    <n v="99"/>
    <n v="0"/>
    <n v="0"/>
    <n v="0"/>
    <n v="0"/>
    <n v="2"/>
    <n v="1.25"/>
    <n v="4.4999999999999998E-2"/>
    <n v="1.1578947368421"/>
    <n v="4.0800000000000003E-2"/>
    <n v="7.2697368421052996E-2"/>
    <n v="5.6748684210526E-2"/>
    <m/>
    <m/>
    <m/>
    <x v="0"/>
    <s v="Jul-27 - Aug-11, 14 days"/>
    <n v="0.12067952"/>
    <n v="9.9000000000000005E-2"/>
    <n v="0.17964539700000001"/>
    <n v="0"/>
    <n v="0.73199999999999998"/>
    <n v="0.3745"/>
    <n v="2.4E-2"/>
    <n v="5.1999999999999998E-2"/>
    <n v="3.7828282830000002"/>
    <n v="0.24242424200000001"/>
    <n v="0.122177362"/>
    <n v="0.73199999999999998"/>
    <n v="0.10100000000000001"/>
    <n v="0"/>
    <n v="0.11664756900000001"/>
    <n v="0.40500000000000003"/>
    <n v="9.7000000000000003E-2"/>
    <n v="2.1000000000000001E-2"/>
    <n v="9.9000000000000005E-2"/>
    <n v="399.3318438636814"/>
    <n v="70"/>
    <n v="90"/>
    <n v="24.242424200000002"/>
    <n v="90"/>
    <n v="40"/>
    <n v="1"/>
    <n v="17.5"/>
    <n v="22.5"/>
    <n v="6.0606060500000005"/>
    <n v="9"/>
    <n v="6"/>
    <x v="30"/>
  </r>
  <r>
    <s v="M01-042-1"/>
    <s v="M01S01"/>
    <n v="36"/>
    <m/>
    <m/>
    <n v="42"/>
    <s v="M01"/>
    <n v="1"/>
    <n v="0"/>
    <s v="SAN CLEMENTE"/>
    <s v="SOUTH"/>
    <x v="3"/>
    <n v="15237.324781506801"/>
    <n v="9789225.00427958"/>
    <n v="224.73038354367301"/>
    <n v="58"/>
    <n v="58"/>
    <n v="0"/>
    <n v="0"/>
    <n v="0"/>
    <n v="0"/>
    <n v="0"/>
    <n v="0"/>
    <n v="0"/>
    <n v="0"/>
    <n v="0"/>
    <n v="0"/>
    <n v="100"/>
    <n v="0"/>
    <n v="2"/>
    <n v="0.6"/>
    <n v="2.5000000000000001E-2"/>
    <n v="1.25"/>
    <n v="1.0200000000000001E-2"/>
    <n v="2.2950000000000002E-2"/>
    <n v="1.6574999999999999E-2"/>
    <s v="Direct Connection"/>
    <m/>
    <s v="Flowing"/>
    <x v="2"/>
    <s v="Jul-19 - Aug- 2, 13 days"/>
    <n v="0.10024767599999999"/>
    <n v="9.9000000000000005E-2"/>
    <n v="1.2445939E-2"/>
    <n v="2.8000000000000001E-2"/>
    <n v="0.24299999999999999"/>
    <n v="0.19900000000000001"/>
    <n v="3.9E-2"/>
    <n v="5.7000000000000002E-2"/>
    <n v="2.0101010100000001"/>
    <n v="0.393939394"/>
    <n v="0.10256451"/>
    <n v="0.24299999999999999"/>
    <n v="0.10199999999999999"/>
    <n v="2.8000000000000001E-2"/>
    <n v="9.4558160000000002E-2"/>
    <n v="0.20200000000000001"/>
    <n v="9.0999999999999998E-2"/>
    <n v="3.7999999999999999E-2"/>
    <n v="9.9000000000000005E-2"/>
    <n v="130.34362245533035"/>
    <n v="100"/>
    <n v="90"/>
    <n v="39.393939400000001"/>
    <n v="70"/>
    <n v="100"/>
    <n v="1"/>
    <n v="25"/>
    <n v="22.5"/>
    <n v="9.8484848500000002"/>
    <n v="7"/>
    <n v="15"/>
    <x v="31"/>
  </r>
  <r>
    <s v="K01-12036-1"/>
    <m/>
    <n v="39"/>
    <m/>
    <m/>
    <n v="12036"/>
    <s v="K01"/>
    <n v="1"/>
    <n v="0"/>
    <s v="LAGUNA NIGUEL"/>
    <s v="SOUTH"/>
    <x v="0"/>
    <n v="12973.430842088799"/>
    <n v="6002780.9678765796"/>
    <n v="137.80531846492599"/>
    <n v="31"/>
    <n v="31"/>
    <n v="0"/>
    <n v="0"/>
    <n v="0"/>
    <n v="0"/>
    <n v="100"/>
    <n v="0"/>
    <n v="0"/>
    <n v="0"/>
    <n v="0"/>
    <n v="0"/>
    <n v="0"/>
    <n v="0"/>
    <n v="2"/>
    <n v="0.47499999999999998"/>
    <n v="3.5000000000000003E-2"/>
    <n v="1.45"/>
    <n v="6.3749999999999996E-3"/>
    <n v="3.6720000000000003E-2"/>
    <n v="2.1547500000000001E-2"/>
    <m/>
    <m/>
    <m/>
    <x v="0"/>
    <s v="Jul-29 - Aug-12, 13 days"/>
    <n v="9.9385081E-2"/>
    <n v="0.123"/>
    <n v="-0.237610298"/>
    <n v="0"/>
    <n v="0.30499999999999999"/>
    <n v="0.223"/>
    <n v="0"/>
    <n v="0.14499999999999999"/>
    <n v="1.8130081300000001"/>
    <n v="0"/>
    <n v="0.107772269"/>
    <n v="0.26400000000000001"/>
    <n v="0.13300000000000001"/>
    <n v="0"/>
    <n v="8.1322048999999993E-2"/>
    <n v="0.30499999999999999"/>
    <n v="6.4000000000000001E-2"/>
    <n v="0"/>
    <n v="0.123"/>
    <n v="42.719648724127055"/>
    <n v="70"/>
    <n v="90"/>
    <n v="0"/>
    <n v="30"/>
    <n v="40"/>
    <n v="1"/>
    <n v="17.5"/>
    <n v="22.5"/>
    <n v="0"/>
    <n v="3"/>
    <n v="6"/>
    <x v="32"/>
  </r>
  <r>
    <s v="K01-12177-1"/>
    <s v="K01P07"/>
    <n v="78"/>
    <m/>
    <m/>
    <n v="12177"/>
    <s v="K01"/>
    <n v="1"/>
    <n v="0"/>
    <s v="LAGUNA NIGUEL"/>
    <s v="SOUTH"/>
    <x v="0"/>
    <n v="29476.341841978501"/>
    <n v="22321426.930841599"/>
    <n v="512.43104875177801"/>
    <n v="81"/>
    <n v="76"/>
    <n v="0"/>
    <n v="0"/>
    <n v="0"/>
    <n v="0"/>
    <n v="100"/>
    <n v="0"/>
    <n v="0"/>
    <n v="0"/>
    <n v="0"/>
    <n v="0"/>
    <n v="0"/>
    <n v="0"/>
    <n v="3"/>
    <n v="0.95"/>
    <n v="2.8333333333332999E-2"/>
    <n v="3.1495726495726499"/>
    <n v="1.625625E-2"/>
    <n v="0.172615384615385"/>
    <n v="8.8457211538462005E-2"/>
    <s v="Direct Connection"/>
    <s v="Flowing"/>
    <s v="Flowing"/>
    <x v="1"/>
    <s v="Jun- 2 - Jun-13, 11 days"/>
    <n v="0.13572933700000001"/>
    <n v="0.13300000000000001"/>
    <n v="2.0108675999999999E-2"/>
    <n v="2.1999999999999999E-2"/>
    <n v="0.41499999999999998"/>
    <n v="0.22900000000000001"/>
    <n v="7.2999999999999995E-2"/>
    <n v="0.107"/>
    <n v="1.721804511"/>
    <n v="0.54887218000000004"/>
    <n v="0.141063152"/>
    <n v="0.41499999999999998"/>
    <n v="0.13600000000000001"/>
    <n v="2.1999999999999999E-2"/>
    <n v="0.126139583"/>
    <n v="0.25700000000000001"/>
    <n v="0.128"/>
    <n v="2.1999999999999999E-2"/>
    <n v="0.13300000000000001"/>
    <n v="415.06914948894018"/>
    <n v="80"/>
    <n v="90"/>
    <n v="54.887218000000004"/>
    <n v="90"/>
    <n v="100"/>
    <n v="1"/>
    <n v="20"/>
    <n v="22.5"/>
    <n v="13.721804500000001"/>
    <n v="9"/>
    <n v="15"/>
    <x v="33"/>
  </r>
  <r>
    <s v="K01-12126-1"/>
    <s v="K01S01"/>
    <n v="120"/>
    <m/>
    <m/>
    <n v="12126"/>
    <s v="K01"/>
    <n v="1"/>
    <n v="0"/>
    <s v="DANA POINT"/>
    <s v="SOUTH"/>
    <x v="0"/>
    <n v="42037.588012665103"/>
    <n v="42734705.527915202"/>
    <n v="981.05690284121499"/>
    <n v="77"/>
    <n v="70"/>
    <n v="0"/>
    <n v="29"/>
    <n v="0"/>
    <n v="0"/>
    <n v="71"/>
    <n v="0"/>
    <n v="0"/>
    <n v="0"/>
    <n v="0"/>
    <n v="0"/>
    <n v="0"/>
    <n v="0"/>
    <n v="2"/>
    <n v="1.9"/>
    <n v="0.09"/>
    <n v="2.3571428571428501"/>
    <n v="0.198171428571429"/>
    <n v="0.53549999999999998"/>
    <n v="0.36683571428571399"/>
    <m/>
    <m/>
    <m/>
    <x v="0"/>
    <s v="May-25 - Jun- 8, 13 days"/>
    <n v="0.13912080900000001"/>
    <n v="0.13700000000000001"/>
    <n v="1.524437E-2"/>
    <n v="3.5000000000000003E-2"/>
    <n v="0.26300000000000001"/>
    <n v="0.23899999999999999"/>
    <n v="7.8E-2"/>
    <n v="0.115"/>
    <n v="1.7445255470000001"/>
    <n v="0.56934306599999995"/>
    <n v="0.14102099800000001"/>
    <n v="0.26200000000000001"/>
    <n v="0.14000000000000001"/>
    <n v="3.9E-2"/>
    <n v="0.13470046099999999"/>
    <n v="0.26300000000000001"/>
    <n v="0.13200000000000001"/>
    <n v="3.5000000000000003E-2"/>
    <n v="0.13700000000000001"/>
    <n v="755.41381518773562"/>
    <n v="70"/>
    <n v="90"/>
    <n v="56.934306599999992"/>
    <n v="100"/>
    <n v="40"/>
    <n v="1"/>
    <n v="17.5"/>
    <n v="22.5"/>
    <n v="14.233576649999998"/>
    <n v="10"/>
    <n v="6"/>
    <x v="34"/>
  </r>
  <r>
    <s v="K01-12032-2"/>
    <s v="K01P11"/>
    <n v="48"/>
    <m/>
    <m/>
    <n v="12032"/>
    <s v="K01"/>
    <n v="1"/>
    <n v="0"/>
    <s v="LAGUNA NIGUEL"/>
    <s v="SOUTH"/>
    <x v="0"/>
    <n v="15117.294468751101"/>
    <n v="5525448.9897399396"/>
    <n v="126.847249927589"/>
    <n v="71"/>
    <n v="71"/>
    <n v="0"/>
    <n v="0"/>
    <n v="0"/>
    <n v="0"/>
    <n v="100"/>
    <n v="0"/>
    <n v="0"/>
    <n v="0"/>
    <n v="0"/>
    <n v="0"/>
    <n v="0"/>
    <n v="0"/>
    <n v="3"/>
    <n v="1"/>
    <n v="6.6666666666666999E-2"/>
    <n v="1.56666666666666"/>
    <n v="1.9890000000000001E-2"/>
    <n v="0.14280000000000001"/>
    <n v="6.9529999999999995E-2"/>
    <s v="Partial"/>
    <s v="Flowing"/>
    <s v="Flowing"/>
    <x v="3"/>
    <s v="Aug- 3 - Aug-17, 13 days"/>
    <n v="0.185703272"/>
    <n v="0.157"/>
    <n v="0.15456524499999999"/>
    <n v="3.9E-2"/>
    <n v="1.17"/>
    <n v="0.88500000000000001"/>
    <n v="8.3000000000000004E-2"/>
    <n v="0.112"/>
    <n v="5.6369426750000002"/>
    <n v="0.52866241999999997"/>
    <n v="0.182179864"/>
    <n v="1.08"/>
    <n v="0.154"/>
    <n v="3.9E-2"/>
    <n v="0.19423958299999999"/>
    <n v="1.17"/>
    <n v="0.16400000000000001"/>
    <n v="7.5999999999999998E-2"/>
    <n v="0.157"/>
    <n v="90.061547448588186"/>
    <n v="60"/>
    <n v="90"/>
    <n v="52.866242"/>
    <n v="50"/>
    <n v="100"/>
    <n v="0.5"/>
    <n v="7.5"/>
    <n v="11.25"/>
    <n v="6.60828025"/>
    <n v="2.5"/>
    <n v="7.5"/>
    <x v="35"/>
  </r>
  <r>
    <s v="L03-691-1"/>
    <s v="L03P09"/>
    <n v="90"/>
    <m/>
    <m/>
    <n v="691"/>
    <s v="L03"/>
    <n v="1"/>
    <n v="0"/>
    <s v="MISSION VIEJO"/>
    <s v="SOUTH"/>
    <x v="1"/>
    <n v="31614.636778074499"/>
    <n v="22011012.966371801"/>
    <n v="505.30490247747002"/>
    <n v="72"/>
    <n v="68"/>
    <n v="0"/>
    <n v="0"/>
    <n v="0"/>
    <n v="0"/>
    <n v="0"/>
    <n v="0"/>
    <n v="0"/>
    <n v="100"/>
    <n v="0"/>
    <n v="0"/>
    <n v="0"/>
    <n v="0"/>
    <n v="1"/>
    <n v="1.4"/>
    <n v="0.1"/>
    <n v="3"/>
    <n v="0.35699999999999998"/>
    <n v="0.35699999999999998"/>
    <n v="0.35699999999999998"/>
    <s v="Partial"/>
    <s v="Flowing"/>
    <s v="Flowing"/>
    <x v="1"/>
    <s v="Jun-15 - Jun-29, 13 days"/>
    <n v="0.20541395600000001"/>
    <n v="0.191"/>
    <n v="7.0170284999999999E-2"/>
    <n v="5.8000000000000003E-2"/>
    <n v="0.60899999999999999"/>
    <n v="0.34100000000000003"/>
    <n v="9.2999999999999999E-2"/>
    <n v="0.27800000000000002"/>
    <n v="1.7853403139999999"/>
    <n v="0.48691099500000001"/>
    <n v="0.21042295699999999"/>
    <n v="0.60899999999999999"/>
    <n v="0.193"/>
    <n v="5.8000000000000003E-2"/>
    <n v="0.19291319400000001"/>
    <n v="0.377"/>
    <n v="0.185"/>
    <n v="6.6000000000000003E-2"/>
    <n v="0.191"/>
    <n v="363.81952978377842"/>
    <n v="80"/>
    <n v="90"/>
    <n v="48.6910995"/>
    <n v="90"/>
    <n v="80"/>
    <n v="0.5"/>
    <n v="10"/>
    <n v="11.25"/>
    <n v="6.0863874375"/>
    <n v="4.5"/>
    <n v="6"/>
    <x v="36"/>
  </r>
  <r>
    <s v="M02-085-2"/>
    <m/>
    <n v="36"/>
    <m/>
    <m/>
    <n v="85"/>
    <s v="M02"/>
    <n v="1"/>
    <n v="0"/>
    <s v="SAN CLEMENTE"/>
    <s v="SOUTH"/>
    <x v="3"/>
    <n v="12816.403674247"/>
    <n v="8706229.2917328607"/>
    <n v="199.86814554726499"/>
    <n v="65"/>
    <n v="1"/>
    <n v="0"/>
    <n v="0"/>
    <n v="0"/>
    <n v="0"/>
    <n v="0"/>
    <n v="0"/>
    <n v="0"/>
    <n v="0"/>
    <n v="0"/>
    <n v="0"/>
    <n v="100"/>
    <n v="0"/>
    <m/>
    <m/>
    <m/>
    <m/>
    <m/>
    <m/>
    <m/>
    <m/>
    <m/>
    <m/>
    <x v="0"/>
    <s v="Jul-15 - Jul-29, 13 days"/>
    <n v="0.23772325899999999"/>
    <n v="0.19500000000000001"/>
    <n v="0.17971846499999999"/>
    <n v="0"/>
    <n v="0.83399999999999996"/>
    <n v="0.57699999999999996"/>
    <n v="5.6000000000000001E-2"/>
    <n v="0.14599999999999999"/>
    <n v="2.9589743589999999"/>
    <n v="0.28717948700000001"/>
    <n v="0.24573542000000001"/>
    <n v="0.70699999999999996"/>
    <n v="0.20200000000000001"/>
    <n v="0"/>
    <n v="0.21816579899999999"/>
    <n v="0.83399999999999996"/>
    <n v="0.17150000000000001"/>
    <n v="8.9999999999999993E-3"/>
    <n v="0.19500000000000001"/>
    <n v="129.91429460572223"/>
    <n v="70"/>
    <n v="90"/>
    <n v="28.717948700000001"/>
    <n v="70"/>
    <n v="20"/>
    <n v="1"/>
    <n v="17.5"/>
    <n v="22.5"/>
    <n v="7.1794871750000002"/>
    <n v="7"/>
    <n v="3"/>
    <x v="37"/>
  </r>
  <r>
    <s v="L03-316-3"/>
    <s v="L03P12"/>
    <n v="78"/>
    <m/>
    <m/>
    <n v="316"/>
    <s v="L03"/>
    <n v="1"/>
    <n v="0"/>
    <s v="MISSION VIEJO"/>
    <s v="SOUTH"/>
    <x v="1"/>
    <n v="24762.641737826401"/>
    <n v="18434175.733324099"/>
    <n v="423.191762478675"/>
    <n v="89"/>
    <n v="82"/>
    <n v="0"/>
    <n v="0"/>
    <n v="0"/>
    <n v="0"/>
    <n v="0"/>
    <n v="0"/>
    <n v="0"/>
    <n v="100"/>
    <n v="0"/>
    <n v="0"/>
    <n v="0"/>
    <n v="0"/>
    <n v="3"/>
    <n v="0.96666666666666701"/>
    <n v="0.09"/>
    <n v="6"/>
    <n v="0.33915000000000001"/>
    <n v="0.56100000000000005"/>
    <n v="0.44455"/>
    <s v="Direct Connection"/>
    <s v="Flowing"/>
    <s v="Flowing"/>
    <x v="3"/>
    <s v="Jun-16 - Jun-30, 13 days"/>
    <n v="0.20561653799999999"/>
    <n v="0.20300000000000001"/>
    <n v="1.2725327E-2"/>
    <n v="8.5999999999999993E-2"/>
    <n v="0.41299999999999998"/>
    <n v="0.33500000000000002"/>
    <n v="0.11899999999999999"/>
    <n v="0.17"/>
    <n v="1.650246305"/>
    <n v="0.58620689699999995"/>
    <n v="0.205314626"/>
    <n v="0.41299999999999998"/>
    <n v="0.20300000000000001"/>
    <n v="0.105"/>
    <n v="0.206363715"/>
    <n v="0.41299999999999998"/>
    <n v="0.21099999999999999"/>
    <n v="8.5999999999999993E-2"/>
    <n v="0.20300000000000001"/>
    <n v="376.64066860602077"/>
    <n v="60"/>
    <n v="100"/>
    <n v="58.620689699999993"/>
    <n v="90"/>
    <n v="100"/>
    <n v="1"/>
    <n v="15"/>
    <n v="25"/>
    <n v="14.655172424999998"/>
    <n v="9"/>
    <n v="15"/>
    <x v="38"/>
  </r>
  <r>
    <s v="J06-10011-1"/>
    <m/>
    <n v="96"/>
    <m/>
    <m/>
    <n v="10011"/>
    <s v="J06"/>
    <n v="1"/>
    <n v="0"/>
    <s v="ALISO VIEJO"/>
    <s v="SOUTH"/>
    <x v="2"/>
    <n v="36519.460341964303"/>
    <n v="40767731.496038102"/>
    <n v="935.90125176455194"/>
    <n v="98"/>
    <n v="66"/>
    <n v="16"/>
    <n v="0"/>
    <n v="0"/>
    <n v="21"/>
    <n v="0"/>
    <n v="41"/>
    <n v="23"/>
    <n v="0"/>
    <n v="0"/>
    <n v="0"/>
    <n v="0"/>
    <n v="0"/>
    <n v="5"/>
    <n v="3.99"/>
    <n v="0.51800000000000002"/>
    <n v="0.24087613535889399"/>
    <n v="0.201889655172414"/>
    <n v="0.51"/>
    <n v="0.38633403359858498"/>
    <s v="Direct Connection"/>
    <s v="Flowing"/>
    <s v="Flowing"/>
    <x v="2"/>
    <s v="Jun-24 - Jul-11, 16 days"/>
    <n v="0.209690825"/>
    <n v="0.20799999999999999"/>
    <n v="8.0634209999999994E-3"/>
    <n v="0.183"/>
    <n v="0.27200000000000002"/>
    <n v="0.24349999999999999"/>
    <n v="0.1915"/>
    <n v="0.20399999999999999"/>
    <n v="1.170673077"/>
    <n v="0.92067307700000001"/>
    <n v="0.210641825"/>
    <n v="0.26700000000000002"/>
    <n v="0.20899999999999999"/>
    <n v="0.185"/>
    <n v="0.20801446800000001"/>
    <n v="0.27200000000000002"/>
    <n v="0.20599999999999999"/>
    <n v="0.183"/>
    <n v="0.20799999999999999"/>
    <n v="917.18322672926092"/>
    <n v="100"/>
    <n v="100"/>
    <n v="92.067307700000001"/>
    <n v="100"/>
    <n v="100"/>
    <n v="1"/>
    <n v="25"/>
    <n v="25"/>
    <n v="23.016826925"/>
    <n v="10"/>
    <n v="15"/>
    <x v="39"/>
  </r>
  <r>
    <s v="J03-9221-1"/>
    <m/>
    <n v="72"/>
    <m/>
    <m/>
    <n v="9221"/>
    <s v="J03"/>
    <n v="1"/>
    <n v="0"/>
    <s v="LAGUNA NIGUEL"/>
    <s v="SOUTH"/>
    <x v="2"/>
    <n v="25366.269179262999"/>
    <n v="24642223.504762001"/>
    <n v="565.70937302729203"/>
    <n v="76"/>
    <n v="76"/>
    <n v="0"/>
    <n v="0"/>
    <n v="0"/>
    <n v="0"/>
    <n v="100"/>
    <n v="0"/>
    <n v="0"/>
    <n v="0"/>
    <n v="0"/>
    <n v="0"/>
    <n v="0"/>
    <n v="0"/>
    <n v="2"/>
    <n v="1.45"/>
    <n v="8.5000000000000006E-2"/>
    <n v="1.5"/>
    <n v="0.13600000000000001"/>
    <n v="0.1547"/>
    <n v="0.14535000000000001"/>
    <m/>
    <m/>
    <m/>
    <x v="0"/>
    <s v="Jun- 1 - Jun-14, 12 days"/>
    <n v="0.21871696299999999"/>
    <n v="0.21099999999999999"/>
    <n v="3.5282872999999999E-2"/>
    <n v="0.105"/>
    <n v="0.621"/>
    <n v="0.372"/>
    <n v="0.1235"/>
    <n v="0.151"/>
    <n v="1.7630331749999999"/>
    <n v="0.58530805699999999"/>
    <n v="0.22232927399999999"/>
    <n v="0.621"/>
    <n v="0.214"/>
    <n v="0.105"/>
    <n v="0.210683333"/>
    <n v="0.47"/>
    <n v="0.20499999999999999"/>
    <n v="0.108"/>
    <n v="0.21099999999999999"/>
    <n v="429.93912350074191"/>
    <n v="70"/>
    <n v="100"/>
    <n v="58.530805700000002"/>
    <n v="90"/>
    <n v="40"/>
    <n v="1"/>
    <n v="17.5"/>
    <n v="25"/>
    <n v="14.632701425"/>
    <n v="9"/>
    <n v="6"/>
    <x v="40"/>
  </r>
  <r>
    <s v="L02-166-3"/>
    <s v="L02P26"/>
    <n v="96"/>
    <m/>
    <m/>
    <n v="166"/>
    <s v="L02"/>
    <n v="1"/>
    <n v="0"/>
    <s v="RANCHO SANTA MARGARITA"/>
    <s v="SOUTH"/>
    <x v="1"/>
    <n v="24156.322657897901"/>
    <n v="21541058.0010661"/>
    <n v="494.51618737946802"/>
    <n v="70"/>
    <n v="60"/>
    <n v="0"/>
    <n v="0"/>
    <n v="0"/>
    <n v="0"/>
    <n v="0"/>
    <n v="0"/>
    <n v="0"/>
    <n v="0"/>
    <n v="1"/>
    <n v="99"/>
    <n v="0"/>
    <n v="0"/>
    <n v="2"/>
    <n v="1.1000000000000001"/>
    <n v="3.5000000000000003E-2"/>
    <n v="1.03571428571428"/>
    <n v="2.1857142857142998E-2"/>
    <n v="4.7600000000000003E-2"/>
    <n v="3.4728571428570998E-2"/>
    <s v="Direct Connection"/>
    <m/>
    <s v="Flowing"/>
    <x v="2"/>
    <s v="Jun- 1 - Jun-14, 12 days"/>
    <n v="0.21871696299999999"/>
    <n v="0.21099999999999999"/>
    <n v="3.5282872999999999E-2"/>
    <n v="0.105"/>
    <n v="0.621"/>
    <n v="0.372"/>
    <n v="0.1235"/>
    <n v="0.151"/>
    <n v="1.7630331749999999"/>
    <n v="0.58530805699999999"/>
    <n v="0.22232927399999999"/>
    <n v="0.621"/>
    <n v="0.214"/>
    <n v="0.105"/>
    <n v="0.210683333"/>
    <n v="0.47"/>
    <n v="0.20499999999999999"/>
    <n v="0.108"/>
    <n v="0.21099999999999999"/>
    <n v="346.16133116562764"/>
    <n v="100"/>
    <n v="100"/>
    <n v="58.530805700000002"/>
    <n v="90"/>
    <n v="100"/>
    <n v="1"/>
    <n v="25"/>
    <n v="25"/>
    <n v="14.632701425"/>
    <n v="9"/>
    <n v="15"/>
    <x v="41"/>
  </r>
  <r>
    <s v="J06-9362-1"/>
    <m/>
    <n v="102"/>
    <m/>
    <m/>
    <n v="9362"/>
    <s v="J06"/>
    <n v="1"/>
    <n v="0"/>
    <s v="ALISO VIEJO"/>
    <s v="SOUTH"/>
    <x v="2"/>
    <n v="53480.146528365702"/>
    <n v="59196619.219461299"/>
    <n v="1358.97161786172"/>
    <n v="93"/>
    <n v="65"/>
    <n v="38"/>
    <n v="0"/>
    <n v="0"/>
    <n v="18"/>
    <n v="0"/>
    <n v="28"/>
    <n v="16"/>
    <n v="0"/>
    <n v="0"/>
    <n v="0"/>
    <n v="0"/>
    <n v="0"/>
    <n v="4"/>
    <n v="4.125"/>
    <n v="0.60750000000000004"/>
    <n v="0.25515093015092999"/>
    <n v="0.353140540540541"/>
    <n v="0.62219999999999998"/>
    <n v="0.54156419357669405"/>
    <s v="Direct Connection"/>
    <s v="Flowing"/>
    <s v="Flowing"/>
    <x v="2"/>
    <s v="Jun-24 - Jul-11, 16 days"/>
    <n v="0.24528101399999999"/>
    <n v="0.24199999999999999"/>
    <n v="1.3376552E-2"/>
    <n v="0.188"/>
    <n v="0.34200000000000003"/>
    <n v="0.27750000000000002"/>
    <n v="0.21"/>
    <n v="0.23899999999999999"/>
    <n v="1.1466942149999999"/>
    <n v="0.86776859500000003"/>
    <n v="0.25018101199999998"/>
    <n v="0.34200000000000003"/>
    <n v="0.247"/>
    <n v="0.193"/>
    <n v="0.236649306"/>
    <n v="0.29899999999999999"/>
    <n v="0.23499999999999999"/>
    <n v="0.188"/>
    <n v="0.24199999999999999"/>
    <n v="1263.8436046113995"/>
    <n v="100"/>
    <n v="100"/>
    <n v="86.7768595"/>
    <n v="100"/>
    <n v="100"/>
    <n v="1"/>
    <n v="25"/>
    <n v="25"/>
    <n v="21.694214875"/>
    <n v="10"/>
    <n v="15"/>
    <x v="42"/>
  </r>
  <r>
    <s v="L03-214-2"/>
    <m/>
    <n v="96"/>
    <m/>
    <m/>
    <n v="214"/>
    <s v="L03"/>
    <n v="1"/>
    <n v="0"/>
    <s v="MISSION VIEJO"/>
    <s v="SOUTH"/>
    <x v="1"/>
    <n v="90540.027556572895"/>
    <n v="97441155.754639506"/>
    <n v="2236.9481032569702"/>
    <n v="64"/>
    <n v="56"/>
    <n v="0"/>
    <n v="0"/>
    <n v="0"/>
    <n v="0"/>
    <n v="0"/>
    <n v="0"/>
    <n v="0"/>
    <n v="72"/>
    <n v="15"/>
    <n v="13"/>
    <n v="0"/>
    <n v="0"/>
    <n v="2"/>
    <n v="1.65"/>
    <n v="0.115"/>
    <n v="2.25"/>
    <n v="0.22439999999999999"/>
    <n v="0.5202"/>
    <n v="0.37230000000000002"/>
    <s v="Direct Connection"/>
    <m/>
    <s v="Flowing"/>
    <x v="2"/>
    <s v="May-31 - Jun-14, 13 days"/>
    <n v="0.25687775299999999"/>
    <n v="0.251"/>
    <n v="2.2881518999999999E-2"/>
    <n v="0.105"/>
    <n v="0.47099999999999997"/>
    <n v="0.374"/>
    <n v="0.17"/>
    <n v="0.246"/>
    <n v="1.490039841"/>
    <n v="0.67729083700000003"/>
    <n v="0.266741536"/>
    <n v="0.47099999999999997"/>
    <n v="0.26400000000000001"/>
    <n v="0.155"/>
    <n v="0.22626101700000001"/>
    <n v="0.433"/>
    <n v="0.224"/>
    <n v="0.105"/>
    <n v="0.251"/>
    <n v="1431.6467860844609"/>
    <n v="100"/>
    <n v="100"/>
    <n v="67.729083700000004"/>
    <n v="100"/>
    <n v="100"/>
    <n v="1"/>
    <n v="25"/>
    <n v="25"/>
    <n v="16.932270925000001"/>
    <n v="10"/>
    <n v="15"/>
    <x v="43"/>
  </r>
  <r>
    <s v="M02-062-2"/>
    <m/>
    <m/>
    <n v="14"/>
    <n v="14"/>
    <n v="52"/>
    <s v="M02"/>
    <n v="1"/>
    <n v="1"/>
    <s v="SAN CLEMENTE"/>
    <s v="SOUTH"/>
    <x v="3"/>
    <n v="115728.732090433"/>
    <n v="159076318.869425"/>
    <n v="3651.9011603689801"/>
    <n v="33"/>
    <n v="18"/>
    <n v="0"/>
    <n v="0"/>
    <n v="0"/>
    <n v="0"/>
    <n v="0"/>
    <n v="0"/>
    <n v="0"/>
    <n v="0"/>
    <n v="19"/>
    <n v="1"/>
    <n v="80"/>
    <n v="0"/>
    <n v="3"/>
    <n v="1.9666666666666599"/>
    <n v="0.18"/>
    <n v="1.2603041216486599"/>
    <n v="0.29249999999999998"/>
    <n v="0.51"/>
    <n v="0.38025510204081597"/>
    <s v="Direct Connection"/>
    <s v="Flowing"/>
    <s v="Flowing"/>
    <x v="0"/>
    <s v="Jul-15 - Jul-28, 12 days"/>
    <n v="0.49822490000000003"/>
    <n v="0.48799999999999999"/>
    <n v="2.0522658999999999E-2"/>
    <n v="0.38"/>
    <n v="0.77100000000000002"/>
    <n v="0.61899999999999999"/>
    <n v="0.41099999999999998"/>
    <n v="0.46500000000000002"/>
    <n v="1.2684426230000001"/>
    <n v="0.84221311499999996"/>
    <n v="0.50361788600000001"/>
    <n v="0.77100000000000002"/>
    <n v="0.497"/>
    <n v="0.38"/>
    <n v="0.486132813"/>
    <n v="0.65500000000000003"/>
    <n v="0.47899999999999998"/>
    <n v="0.38"/>
    <n v="0.48799999999999999"/>
    <n v="1205.1273829217635"/>
    <n v="70"/>
    <n v="100"/>
    <n v="84.221311499999999"/>
    <n v="100"/>
    <n v="100"/>
    <n v="1"/>
    <n v="17.5"/>
    <n v="25"/>
    <n v="21.055327875"/>
    <n v="10"/>
    <n v="15"/>
    <x v="44"/>
  </r>
  <r>
    <s v="L04-266-5"/>
    <m/>
    <n v="72"/>
    <m/>
    <m/>
    <n v="266"/>
    <s v="L04"/>
    <n v="1"/>
    <n v="0"/>
    <s v="MISSION VIEJO"/>
    <s v="SOUTH"/>
    <x v="1"/>
    <n v="27612.909569517"/>
    <n v="25171179.6527461"/>
    <n v="577.85257312354804"/>
    <n v="98"/>
    <n v="89"/>
    <n v="0"/>
    <n v="0"/>
    <n v="0"/>
    <n v="0"/>
    <n v="0"/>
    <n v="0"/>
    <n v="0"/>
    <n v="100"/>
    <n v="0"/>
    <n v="0"/>
    <n v="0"/>
    <n v="0"/>
    <n v="3"/>
    <n v="2.2666666666666599"/>
    <n v="0.27"/>
    <n v="1.12584175084175"/>
    <n v="3.8636363636364003E-2"/>
    <n v="0.245933333333333"/>
    <n v="0.135656565656566"/>
    <s v="Direct Connection"/>
    <m/>
    <m/>
    <x v="2"/>
    <s v="Jun-30 - Jul-17, 17 days"/>
    <n v="0.50537841800000005"/>
    <n v="0.51200000000000001"/>
    <n v="-1.3102226E-2"/>
    <n v="0.36199999999999999"/>
    <n v="0.75700000000000001"/>
    <n v="0.63149999999999995"/>
    <n v="0.46"/>
    <n v="0.52400000000000002"/>
    <n v="1.233398438"/>
    <n v="0.8984375"/>
    <n v="0.50583887299999997"/>
    <n v="0.71399999999999997"/>
    <n v="0.51200000000000001"/>
    <n v="0.36199999999999999"/>
    <n v="0.50441867500000004"/>
    <n v="0.75700000000000001"/>
    <n v="0.51300000000000001"/>
    <n v="0.36599999999999999"/>
    <n v="0.51200000000000001"/>
    <n v="566.29552166107703"/>
    <n v="100"/>
    <n v="100"/>
    <n v="89.84375"/>
    <n v="100"/>
    <n v="100"/>
    <n v="1"/>
    <n v="25"/>
    <n v="25"/>
    <n v="22.4609375"/>
    <n v="10"/>
    <n v="15"/>
    <x v="45"/>
  </r>
  <r>
    <s v="L04-136-1"/>
    <s v="L04P07"/>
    <n v="90"/>
    <m/>
    <m/>
    <n v="136"/>
    <s v="L04"/>
    <n v="1"/>
    <n v="0"/>
    <s v="MISSION VIEJO"/>
    <s v="SOUTH"/>
    <x v="1"/>
    <n v="31246.7533328227"/>
    <n v="19806302.6948018"/>
    <n v="454.69156130735701"/>
    <n v="100"/>
    <n v="61"/>
    <n v="0"/>
    <n v="0"/>
    <n v="0"/>
    <n v="0"/>
    <n v="0"/>
    <n v="0"/>
    <n v="0"/>
    <n v="100"/>
    <n v="0"/>
    <n v="0"/>
    <n v="0"/>
    <n v="0"/>
    <n v="1"/>
    <n v="2.6"/>
    <n v="0.2"/>
    <n v="1"/>
    <n v="0.442"/>
    <n v="0.442"/>
    <n v="0.442"/>
    <m/>
    <m/>
    <m/>
    <x v="0"/>
    <s v="Jun-30 - Jul-14, 13 days"/>
    <n v="0.69905064299999997"/>
    <n v="0.68500000000000005"/>
    <n v="2.0099605999999999E-2"/>
    <n v="0.32600000000000001"/>
    <n v="1.17"/>
    <n v="0.92900000000000005"/>
    <n v="0.47499999999999998"/>
    <n v="0.63900000000000001"/>
    <n v="1.3562043800000001"/>
    <n v="0.69343065699999995"/>
    <n v="0.71724068699999999"/>
    <n v="1.17"/>
    <n v="0.7"/>
    <n v="0.38700000000000001"/>
    <n v="0.65581770800000005"/>
    <n v="1.0900000000000001"/>
    <n v="0.64900000000000002"/>
    <n v="0.32600000000000001"/>
    <n v="0.68500000000000005"/>
    <n v="454.69156130735706"/>
    <n v="70"/>
    <n v="100"/>
    <n v="69.343065699999997"/>
    <n v="90"/>
    <n v="20"/>
    <n v="1"/>
    <n v="17.5"/>
    <n v="25"/>
    <n v="17.335766424999999"/>
    <n v="9"/>
    <n v="3"/>
    <x v="46"/>
  </r>
  <r>
    <s v="I00-11468-1"/>
    <m/>
    <n v="48"/>
    <m/>
    <m/>
    <n v="11468"/>
    <s v="I00"/>
    <n v="1"/>
    <n v="0"/>
    <s v="LAGUNA BEACH"/>
    <s v="SOUTH"/>
    <x v="4"/>
    <n v="19812.988386831799"/>
    <n v="9728520.6902975794"/>
    <n v="223.336799908812"/>
    <n v="34"/>
    <n v="34"/>
    <n v="0"/>
    <n v="0"/>
    <n v="92"/>
    <n v="0"/>
    <n v="0"/>
    <n v="0"/>
    <n v="0"/>
    <n v="0"/>
    <n v="8"/>
    <n v="0"/>
    <n v="0"/>
    <n v="0"/>
    <n v="1"/>
    <n v="1"/>
    <n v="0.3"/>
    <n v="1"/>
    <n v="0.255"/>
    <n v="0.255"/>
    <n v="0.255"/>
    <m/>
    <m/>
    <m/>
    <x v="0"/>
    <m/>
    <m/>
    <m/>
    <m/>
    <m/>
    <m/>
    <m/>
    <m/>
    <m/>
    <m/>
    <m/>
    <m/>
    <m/>
    <m/>
    <m/>
    <m/>
    <m/>
    <m/>
    <m/>
    <n v="0.12588478266188671"/>
    <n v="75.934511968996077"/>
    <n v="70"/>
    <n v="90"/>
    <n v="40"/>
    <n v="50"/>
    <n v="20"/>
    <n v="1"/>
    <n v="17.5"/>
    <n v="22.5"/>
    <n v="10"/>
    <n v="5"/>
    <n v="3"/>
    <x v="47"/>
  </r>
  <r>
    <s v="I01-11010-1"/>
    <m/>
    <n v="48"/>
    <m/>
    <m/>
    <n v="11010"/>
    <s v="I01"/>
    <n v="1"/>
    <n v="0"/>
    <s v="LAGUNA BEACH"/>
    <s v="SOUTH"/>
    <x v="4"/>
    <n v="3279.87662228108"/>
    <n v="529212.09289093001"/>
    <n v="12.1490758011319"/>
    <n v="100"/>
    <n v="7"/>
    <n v="0"/>
    <n v="0"/>
    <n v="100"/>
    <n v="0"/>
    <n v="0"/>
    <n v="0"/>
    <n v="0"/>
    <n v="0"/>
    <n v="0"/>
    <n v="0"/>
    <n v="0"/>
    <n v="0"/>
    <n v="3"/>
    <n v="5.5666666666666602"/>
    <n v="2.6666666666667001E-2"/>
    <n v="0.37777777777777799"/>
    <n v="5.9500000000000004E-3"/>
    <n v="0.10199999999999999"/>
    <n v="4.9583333333333E-2"/>
    <s v="Direct Connection"/>
    <s v="Flowing"/>
    <s v="Flowing"/>
    <x v="1"/>
    <m/>
    <m/>
    <m/>
    <m/>
    <m/>
    <m/>
    <m/>
    <m/>
    <m/>
    <m/>
    <m/>
    <m/>
    <m/>
    <m/>
    <m/>
    <m/>
    <m/>
    <m/>
    <m/>
    <n v="2.447759662870003E-2"/>
    <n v="12.1490758011319"/>
    <n v="80"/>
    <n v="70"/>
    <n v="40"/>
    <n v="30"/>
    <n v="60"/>
    <n v="1"/>
    <n v="20"/>
    <n v="17.5"/>
    <n v="10"/>
    <n v="3"/>
    <n v="9"/>
    <x v="48"/>
  </r>
  <r>
    <s v="I01-11343-2"/>
    <m/>
    <n v="48"/>
    <m/>
    <m/>
    <n v="11343"/>
    <s v="I01"/>
    <n v="1"/>
    <n v="0"/>
    <s v="LAGUNA WOODS"/>
    <s v="SOUTH"/>
    <x v="4"/>
    <n v="8251.0243039655106"/>
    <n v="2039082.64114993"/>
    <n v="46.811042122592802"/>
    <n v="100"/>
    <n v="100"/>
    <n v="0"/>
    <n v="0"/>
    <n v="0"/>
    <n v="0"/>
    <n v="0"/>
    <n v="100"/>
    <n v="0"/>
    <n v="0"/>
    <n v="0"/>
    <n v="0"/>
    <n v="0"/>
    <n v="0"/>
    <n v="1"/>
    <n v="0.5"/>
    <n v="5.0000000000000001E-3"/>
    <n v="0.14285714285714299"/>
    <n v="3.0357142857100002E-4"/>
    <n v="3.0357142857100002E-4"/>
    <n v="3.0357142857100002E-4"/>
    <m/>
    <m/>
    <m/>
    <x v="0"/>
    <m/>
    <m/>
    <m/>
    <m/>
    <m/>
    <m/>
    <m/>
    <m/>
    <m/>
    <m/>
    <m/>
    <m/>
    <m/>
    <m/>
    <m/>
    <m/>
    <m/>
    <m/>
    <m/>
    <n v="1.4986283650203453E-4"/>
    <n v="46.811042122592795"/>
    <n v="70"/>
    <n v="30"/>
    <n v="40"/>
    <n v="30"/>
    <n v="20"/>
    <n v="1"/>
    <n v="17.5"/>
    <n v="7.5"/>
    <n v="10"/>
    <n v="3"/>
    <n v="3"/>
    <x v="0"/>
  </r>
  <r>
    <s v="J01-10017-1"/>
    <s v="J01TBN4"/>
    <n v="48"/>
    <m/>
    <m/>
    <n v="10017"/>
    <s v="J01"/>
    <n v="1"/>
    <n v="0"/>
    <s v="ALISO VIEJO"/>
    <s v="SOUTH"/>
    <x v="2"/>
    <n v="3698.95642971489"/>
    <n v="758924.66193973296"/>
    <n v="17.4225671883021"/>
    <n v="45"/>
    <n v="2"/>
    <n v="100"/>
    <n v="0"/>
    <n v="0"/>
    <n v="0"/>
    <n v="0"/>
    <n v="0"/>
    <n v="0"/>
    <n v="0"/>
    <n v="0"/>
    <n v="0"/>
    <n v="0"/>
    <n v="0"/>
    <n v="3"/>
    <n v="1.0166666666666599"/>
    <n v="4.6666666666667002E-2"/>
    <n v="0.26984126984126999"/>
    <n v="4.3714285714289997E-3"/>
    <n v="1.6291666666666999E-2"/>
    <n v="1.1609920634921E-2"/>
    <s v="Direct Connection"/>
    <s v="Flowing"/>
    <s v="Flowing"/>
    <x v="3"/>
    <m/>
    <m/>
    <m/>
    <m/>
    <m/>
    <m/>
    <m/>
    <m/>
    <m/>
    <m/>
    <m/>
    <m/>
    <m/>
    <m/>
    <m/>
    <m/>
    <m/>
    <m/>
    <m/>
    <n v="5.7314209248971919E-3"/>
    <n v="7.8401552347359447"/>
    <n v="60"/>
    <n v="50"/>
    <n v="40"/>
    <n v="30"/>
    <n v="60"/>
    <n v="1"/>
    <n v="15"/>
    <n v="12.5"/>
    <n v="10"/>
    <n v="3"/>
    <n v="9"/>
    <x v="11"/>
  </r>
  <r>
    <s v="J01-10019-1"/>
    <s v="J01P33"/>
    <n v="42"/>
    <m/>
    <m/>
    <n v="10019"/>
    <s v="J01"/>
    <n v="1"/>
    <n v="0"/>
    <s v="ALISO VIEJO"/>
    <s v="SOUTH"/>
    <x v="2"/>
    <n v="9434.4201411382492"/>
    <n v="3177215.6947509502"/>
    <n v="72.939063242515203"/>
    <n v="88"/>
    <n v="62"/>
    <n v="100"/>
    <n v="0"/>
    <n v="0"/>
    <n v="0"/>
    <n v="0"/>
    <n v="0"/>
    <n v="0"/>
    <n v="0"/>
    <n v="0"/>
    <n v="0"/>
    <n v="0"/>
    <n v="0"/>
    <n v="3"/>
    <n v="0.4"/>
    <n v="0.01"/>
    <n v="2"/>
    <n v="3.3999999999999998E-3"/>
    <n v="1.0200000000000001E-2"/>
    <n v="6.7999999999999996E-3"/>
    <s v="Direct Connection"/>
    <s v="Flowing"/>
    <s v="Flowing"/>
    <x v="3"/>
    <m/>
    <m/>
    <m/>
    <m/>
    <m/>
    <m/>
    <m/>
    <m/>
    <m/>
    <m/>
    <m/>
    <m/>
    <m/>
    <m/>
    <m/>
    <m/>
    <m/>
    <m/>
    <m/>
    <n v="3.3569275376503123E-3"/>
    <n v="64.186375653413378"/>
    <n v="60"/>
    <n v="30"/>
    <n v="40"/>
    <n v="50"/>
    <n v="60"/>
    <n v="1"/>
    <n v="15"/>
    <n v="7.5"/>
    <n v="10"/>
    <n v="5"/>
    <n v="9"/>
    <x v="49"/>
  </r>
  <r>
    <s v="J01-9008-1"/>
    <s v="J01P30"/>
    <n v="84"/>
    <m/>
    <m/>
    <n v="9008"/>
    <s v="J01"/>
    <n v="1"/>
    <n v="0"/>
    <s v="ALISO VIEJO"/>
    <s v="SOUTH"/>
    <x v="2"/>
    <n v="13937.690007036599"/>
    <n v="9216051.5395057593"/>
    <n v="211.57209036731101"/>
    <n v="81"/>
    <n v="57"/>
    <n v="100"/>
    <n v="0"/>
    <n v="0"/>
    <n v="0"/>
    <n v="0"/>
    <n v="0"/>
    <n v="0"/>
    <n v="0"/>
    <n v="0"/>
    <n v="0"/>
    <n v="0"/>
    <n v="0"/>
    <n v="3"/>
    <n v="1.6666666666666601"/>
    <n v="8.3333333333332996E-2"/>
    <n v="0.30169172932330801"/>
    <n v="1.1810526315789001E-2"/>
    <n v="5.0999999999999997E-2"/>
    <n v="3.5933270676691997E-2"/>
    <s v="Direct Connection"/>
    <s v="Flowing"/>
    <s v="Flowing"/>
    <x v="3"/>
    <m/>
    <m/>
    <m/>
    <m/>
    <m/>
    <m/>
    <m/>
    <m/>
    <m/>
    <m/>
    <m/>
    <m/>
    <m/>
    <m/>
    <m/>
    <m/>
    <m/>
    <m/>
    <m/>
    <n v="1.7739027331239682E-2"/>
    <n v="171.37339319752192"/>
    <n v="60"/>
    <n v="70"/>
    <n v="40"/>
    <n v="70"/>
    <n v="60"/>
    <n v="1"/>
    <n v="15"/>
    <n v="17.5"/>
    <n v="10"/>
    <n v="7"/>
    <n v="9"/>
    <x v="22"/>
  </r>
  <r>
    <s v="J01-9046-1"/>
    <m/>
    <n v="24"/>
    <m/>
    <m/>
    <n v="9046"/>
    <s v="J01"/>
    <n v="1"/>
    <n v="0"/>
    <s v="LAKE FOREST"/>
    <s v="SOUTH"/>
    <x v="2"/>
    <n v="6852.4601273021899"/>
    <n v="2862787.8548494698"/>
    <n v="65.720770780448206"/>
    <n v="78"/>
    <n v="78"/>
    <n v="0"/>
    <n v="0"/>
    <n v="0"/>
    <n v="0"/>
    <n v="0"/>
    <n v="0"/>
    <n v="100"/>
    <n v="0"/>
    <n v="0"/>
    <n v="0"/>
    <n v="0"/>
    <n v="0"/>
    <n v="1"/>
    <n v="0.41"/>
    <n v="0.04"/>
    <n v="1.5"/>
    <n v="2.0910000000000002E-2"/>
    <n v="2.0910000000000002E-2"/>
    <n v="2.0910000000000002E-2"/>
    <m/>
    <m/>
    <m/>
    <x v="0"/>
    <m/>
    <m/>
    <m/>
    <m/>
    <m/>
    <m/>
    <m/>
    <m/>
    <m/>
    <m/>
    <m/>
    <m/>
    <m/>
    <m/>
    <m/>
    <m/>
    <m/>
    <m/>
    <m/>
    <n v="1.0322552178274711E-2"/>
    <n v="51.262201208749602"/>
    <n v="70"/>
    <n v="50"/>
    <n v="40"/>
    <n v="50"/>
    <n v="20"/>
    <n v="1"/>
    <n v="17.5"/>
    <n v="12.5"/>
    <n v="10"/>
    <n v="5"/>
    <n v="3"/>
    <x v="50"/>
  </r>
  <r>
    <s v="J01-9066-1"/>
    <m/>
    <n v="36"/>
    <m/>
    <m/>
    <n v="9066"/>
    <s v="J01"/>
    <n v="1"/>
    <n v="0"/>
    <s v="LAKE FOREST"/>
    <s v="SOUTH"/>
    <x v="2"/>
    <n v="14245.7482347801"/>
    <n v="3577210.3820237801"/>
    <n v="82.121706347250907"/>
    <n v="100"/>
    <n v="65"/>
    <n v="0"/>
    <n v="0"/>
    <n v="0"/>
    <n v="0"/>
    <n v="0"/>
    <n v="0"/>
    <n v="3"/>
    <n v="97"/>
    <n v="0"/>
    <n v="0"/>
    <n v="0"/>
    <n v="0"/>
    <n v="2"/>
    <n v="0.65"/>
    <n v="0.02"/>
    <n v="0.7"/>
    <n v="2.0400000000000001E-3"/>
    <n v="1.7850000000000001E-2"/>
    <n v="9.9450000000000007E-3"/>
    <m/>
    <m/>
    <m/>
    <x v="0"/>
    <m/>
    <m/>
    <m/>
    <m/>
    <m/>
    <m/>
    <m/>
    <m/>
    <m/>
    <m/>
    <m/>
    <m/>
    <m/>
    <m/>
    <m/>
    <m/>
    <m/>
    <m/>
    <m/>
    <n v="4.909506523813582E-3"/>
    <n v="82.121706347250907"/>
    <n v="70"/>
    <n v="30"/>
    <n v="40"/>
    <n v="50"/>
    <n v="40"/>
    <n v="1"/>
    <n v="17.5"/>
    <n v="7.5"/>
    <n v="10"/>
    <n v="5"/>
    <n v="6"/>
    <x v="51"/>
  </r>
  <r>
    <s v="J01-9082-3"/>
    <m/>
    <n v="48"/>
    <m/>
    <m/>
    <n v="9082"/>
    <s v="J01"/>
    <n v="1"/>
    <n v="0"/>
    <s v="ALISO VIEJO"/>
    <s v="SOUTH"/>
    <x v="2"/>
    <n v="10619.0299810373"/>
    <n v="5430205.8138061604"/>
    <n v="124.660760655133"/>
    <n v="84"/>
    <n v="82"/>
    <n v="98"/>
    <n v="0"/>
    <n v="0"/>
    <n v="0"/>
    <n v="0"/>
    <n v="0"/>
    <n v="0"/>
    <n v="0"/>
    <n v="2"/>
    <n v="0"/>
    <n v="0"/>
    <n v="0"/>
    <n v="1"/>
    <n v="1.05"/>
    <n v="4.4999999999999998E-2"/>
    <n v="1.8181818181818099"/>
    <n v="7.3022727272727003E-2"/>
    <n v="7.3022727272727003E-2"/>
    <n v="7.3022727272727003E-2"/>
    <m/>
    <m/>
    <m/>
    <x v="0"/>
    <m/>
    <m/>
    <m/>
    <m/>
    <m/>
    <m/>
    <m/>
    <m/>
    <m/>
    <m/>
    <m/>
    <m/>
    <m/>
    <m/>
    <m/>
    <m/>
    <m/>
    <m/>
    <m/>
    <n v="3.6048824125903788E-2"/>
    <n v="104.71503895031172"/>
    <n v="70"/>
    <n v="70"/>
    <n v="40"/>
    <n v="50"/>
    <n v="20"/>
    <n v="1"/>
    <n v="17.5"/>
    <n v="17.5"/>
    <n v="10"/>
    <n v="5"/>
    <n v="3"/>
    <x v="52"/>
  </r>
  <r>
    <s v="J01-9131-1"/>
    <s v="J01P28"/>
    <n v="96"/>
    <m/>
    <m/>
    <n v="9131"/>
    <s v="J01"/>
    <n v="1"/>
    <n v="0"/>
    <s v="ALISO VIEJO"/>
    <s v="SOUTH"/>
    <x v="2"/>
    <n v="17724.618810611901"/>
    <n v="12474938.274098299"/>
    <n v="286.38606853925103"/>
    <n v="77"/>
    <n v="31"/>
    <n v="100"/>
    <n v="0"/>
    <n v="0"/>
    <n v="0"/>
    <n v="0"/>
    <n v="0"/>
    <n v="0"/>
    <n v="0"/>
    <n v="0"/>
    <n v="0"/>
    <n v="0"/>
    <n v="0"/>
    <n v="1"/>
    <n v="1.4"/>
    <n v="0.12"/>
    <n v="2"/>
    <n v="0.28560000000000002"/>
    <n v="0.28560000000000002"/>
    <n v="0.28560000000000002"/>
    <m/>
    <m/>
    <m/>
    <x v="0"/>
    <m/>
    <m/>
    <m/>
    <m/>
    <m/>
    <m/>
    <m/>
    <m/>
    <m/>
    <m/>
    <m/>
    <m/>
    <m/>
    <m/>
    <m/>
    <m/>
    <m/>
    <m/>
    <m/>
    <n v="0.14099095658131314"/>
    <n v="220.51727277522329"/>
    <n v="70"/>
    <n v="90"/>
    <n v="40"/>
    <n v="90"/>
    <n v="20"/>
    <n v="1"/>
    <n v="17.5"/>
    <n v="22.5"/>
    <n v="10"/>
    <n v="9"/>
    <n v="3"/>
    <x v="53"/>
  </r>
  <r>
    <s v="J01-9144-1"/>
    <s v="J01P23"/>
    <n v="96"/>
    <m/>
    <m/>
    <n v="9144"/>
    <s v="J01"/>
    <n v="1"/>
    <n v="0"/>
    <s v="LAGUNA NIGUEL"/>
    <s v="SOUTH"/>
    <x v="2"/>
    <n v="15072.759800878601"/>
    <n v="7642655.9331909399"/>
    <n v="175.45178483561901"/>
    <n v="68"/>
    <n v="35"/>
    <n v="100"/>
    <n v="0"/>
    <n v="0"/>
    <n v="0"/>
    <n v="0"/>
    <n v="0"/>
    <n v="0"/>
    <n v="0"/>
    <n v="0"/>
    <n v="0"/>
    <n v="0"/>
    <n v="0"/>
    <n v="4"/>
    <n v="0.7"/>
    <n v="1.4999999999999999E-2"/>
    <n v="0.371428571428571"/>
    <n v="8.4999999999999995E-4"/>
    <n v="1.5299999999999999E-2"/>
    <n v="4.9583333333329998E-3"/>
    <s v="Direct Connection"/>
    <s v="Flowing"/>
    <s v="Flowing"/>
    <x v="3"/>
    <m/>
    <m/>
    <m/>
    <m/>
    <m/>
    <m/>
    <m/>
    <m/>
    <m/>
    <m/>
    <m/>
    <m/>
    <m/>
    <m/>
    <m/>
    <m/>
    <m/>
    <m/>
    <m/>
    <n v="2.4477596628698548E-3"/>
    <n v="119.30721368822093"/>
    <n v="60"/>
    <n v="30"/>
    <n v="40"/>
    <n v="50"/>
    <n v="60"/>
    <n v="1"/>
    <n v="15"/>
    <n v="7.5"/>
    <n v="10"/>
    <n v="5"/>
    <n v="9"/>
    <x v="49"/>
  </r>
  <r>
    <s v="J01-9144-4"/>
    <s v="J01P26"/>
    <n v="78"/>
    <m/>
    <m/>
    <n v="9144"/>
    <s v="J01"/>
    <n v="1"/>
    <n v="0"/>
    <s v="ALISO VIEJO"/>
    <s v="SOUTH"/>
    <x v="2"/>
    <n v="19730.3538222077"/>
    <n v="8428527.0704872292"/>
    <n v="193.49295990548299"/>
    <n v="82"/>
    <n v="52"/>
    <n v="100"/>
    <n v="0"/>
    <n v="0"/>
    <n v="0"/>
    <n v="0"/>
    <n v="0"/>
    <n v="0"/>
    <n v="0"/>
    <n v="0"/>
    <n v="0"/>
    <n v="0"/>
    <n v="0"/>
    <n v="1"/>
    <n v="1.75"/>
    <n v="0.12"/>
    <n v="0.05"/>
    <n v="8.9250000000000006E-3"/>
    <n v="8.9250000000000006E-3"/>
    <n v="8.9250000000000006E-3"/>
    <m/>
    <m/>
    <m/>
    <x v="0"/>
    <m/>
    <m/>
    <m/>
    <m/>
    <m/>
    <m/>
    <m/>
    <m/>
    <m/>
    <m/>
    <m/>
    <m/>
    <m/>
    <m/>
    <m/>
    <m/>
    <m/>
    <m/>
    <m/>
    <n v="4.4059673931660355E-3"/>
    <n v="158.66422712249604"/>
    <n v="70"/>
    <n v="30"/>
    <n v="40"/>
    <n v="70"/>
    <n v="20"/>
    <n v="1"/>
    <n v="17.5"/>
    <n v="7.5"/>
    <n v="10"/>
    <n v="7"/>
    <n v="3"/>
    <x v="54"/>
  </r>
  <r>
    <s v="J01-9313-1"/>
    <m/>
    <n v="54"/>
    <m/>
    <m/>
    <n v="9313"/>
    <s v="J01"/>
    <n v="1"/>
    <n v="0"/>
    <s v="ALISO VIEJO"/>
    <s v="SOUTH"/>
    <x v="2"/>
    <n v="13044.0965587887"/>
    <n v="5984108.3474733299"/>
    <n v="137.37665274898299"/>
    <n v="91"/>
    <n v="91"/>
    <n v="99"/>
    <n v="0"/>
    <n v="0"/>
    <n v="0"/>
    <n v="0"/>
    <n v="0"/>
    <n v="0"/>
    <n v="0"/>
    <n v="1"/>
    <n v="0"/>
    <n v="0"/>
    <n v="0"/>
    <n v="1"/>
    <n v="1"/>
    <n v="0.05"/>
    <n v="1"/>
    <n v="4.2500000000000003E-2"/>
    <n v="4.2500000000000003E-2"/>
    <n v="4.2500000000000003E-2"/>
    <m/>
    <m/>
    <m/>
    <x v="0"/>
    <m/>
    <m/>
    <m/>
    <m/>
    <m/>
    <m/>
    <m/>
    <m/>
    <m/>
    <m/>
    <m/>
    <m/>
    <m/>
    <m/>
    <m/>
    <m/>
    <m/>
    <m/>
    <m/>
    <n v="2.0980797110314454E-2"/>
    <n v="125.01275400157452"/>
    <n v="70"/>
    <n v="70"/>
    <n v="40"/>
    <n v="70"/>
    <n v="20"/>
    <n v="1"/>
    <n v="17.5"/>
    <n v="17.5"/>
    <n v="10"/>
    <n v="7"/>
    <n v="3"/>
    <x v="55"/>
  </r>
  <r>
    <s v="J01-9349-1"/>
    <m/>
    <n v="36"/>
    <m/>
    <m/>
    <n v="9349"/>
    <s v="J01"/>
    <n v="1"/>
    <n v="0"/>
    <s v="LAKE FOREST"/>
    <s v="SOUTH"/>
    <x v="2"/>
    <n v="7585.0229518530996"/>
    <n v="3036416.5595865799"/>
    <n v="69.706749792341895"/>
    <n v="55"/>
    <n v="55"/>
    <n v="0"/>
    <n v="0"/>
    <n v="0"/>
    <n v="0"/>
    <n v="0"/>
    <n v="0"/>
    <n v="100"/>
    <n v="0"/>
    <n v="0"/>
    <n v="0"/>
    <n v="0"/>
    <n v="0"/>
    <n v="1"/>
    <n v="0.5"/>
    <n v="0.01"/>
    <n v="2"/>
    <n v="8.5000000000000006E-3"/>
    <n v="8.5000000000000006E-3"/>
    <n v="8.5000000000000006E-3"/>
    <m/>
    <m/>
    <m/>
    <x v="0"/>
    <m/>
    <m/>
    <m/>
    <m/>
    <m/>
    <m/>
    <m/>
    <m/>
    <m/>
    <m/>
    <m/>
    <m/>
    <m/>
    <m/>
    <m/>
    <m/>
    <m/>
    <m/>
    <m/>
    <n v="4.1961594220628912E-3"/>
    <n v="38.338712385788043"/>
    <n v="70"/>
    <n v="30"/>
    <n v="40"/>
    <n v="30"/>
    <n v="20"/>
    <n v="1"/>
    <n v="17.5"/>
    <n v="7.5"/>
    <n v="10"/>
    <n v="3"/>
    <n v="3"/>
    <x v="0"/>
  </r>
  <r>
    <s v="J01-9377-1"/>
    <m/>
    <n v="36"/>
    <m/>
    <m/>
    <n v="9377"/>
    <s v="J01"/>
    <n v="1"/>
    <n v="0"/>
    <s v="LAKE FOREST"/>
    <s v="SOUTH"/>
    <x v="2"/>
    <n v="6237.8938662394303"/>
    <n v="1500498.79180891"/>
    <n v="34.446819727058802"/>
    <n v="50"/>
    <n v="50"/>
    <n v="0"/>
    <n v="0"/>
    <n v="0"/>
    <n v="0"/>
    <n v="0"/>
    <n v="0"/>
    <n v="98"/>
    <n v="2"/>
    <n v="0"/>
    <n v="0"/>
    <n v="0"/>
    <n v="0"/>
    <n v="1"/>
    <n v="0.3"/>
    <n v="5.0000000000000001E-3"/>
    <n v="0.02"/>
    <n v="2.55E-5"/>
    <n v="2.55E-5"/>
    <n v="2.55E-5"/>
    <m/>
    <m/>
    <m/>
    <x v="0"/>
    <m/>
    <m/>
    <m/>
    <m/>
    <m/>
    <m/>
    <m/>
    <m/>
    <m/>
    <m/>
    <m/>
    <m/>
    <m/>
    <m/>
    <m/>
    <m/>
    <m/>
    <m/>
    <m/>
    <n v="1.2588478266188672E-5"/>
    <n v="17.223409863529401"/>
    <n v="70"/>
    <n v="30"/>
    <n v="40"/>
    <n v="30"/>
    <n v="20"/>
    <n v="1"/>
    <n v="17.5"/>
    <n v="7.5"/>
    <n v="10"/>
    <n v="3"/>
    <n v="3"/>
    <x v="0"/>
  </r>
  <r>
    <s v="J01-9785-1"/>
    <m/>
    <n v="60"/>
    <m/>
    <m/>
    <n v="9785"/>
    <s v="J01"/>
    <n v="1"/>
    <n v="0"/>
    <s v="LAKE FOREST"/>
    <s v="SOUTH"/>
    <x v="2"/>
    <n v="4200.6304900893701"/>
    <n v="925933.505251172"/>
    <n v="21.256574619549902"/>
    <n v="100"/>
    <n v="100"/>
    <n v="0"/>
    <n v="0"/>
    <n v="0"/>
    <n v="0"/>
    <n v="0"/>
    <n v="0"/>
    <n v="100"/>
    <n v="0"/>
    <n v="0"/>
    <n v="0"/>
    <n v="0"/>
    <n v="0"/>
    <n v="1"/>
    <n v="1"/>
    <n v="0.02"/>
    <n v="0.05"/>
    <n v="8.4999999999999995E-4"/>
    <n v="8.4999999999999995E-4"/>
    <n v="8.4999999999999995E-4"/>
    <m/>
    <m/>
    <m/>
    <x v="0"/>
    <m/>
    <m/>
    <m/>
    <m/>
    <m/>
    <m/>
    <m/>
    <m/>
    <m/>
    <m/>
    <m/>
    <m/>
    <m/>
    <m/>
    <m/>
    <m/>
    <m/>
    <m/>
    <m/>
    <n v="4.1961594220628904E-4"/>
    <n v="21.256574619549902"/>
    <n v="70"/>
    <n v="30"/>
    <n v="40"/>
    <n v="30"/>
    <n v="20"/>
    <n v="1"/>
    <n v="17.5"/>
    <n v="7.5"/>
    <n v="10"/>
    <n v="3"/>
    <n v="3"/>
    <x v="0"/>
  </r>
  <r>
    <s v="J01-9992-1"/>
    <s v="J01P27"/>
    <n v="90"/>
    <m/>
    <m/>
    <n v="9992"/>
    <s v="J01"/>
    <n v="1"/>
    <n v="0"/>
    <s v="ALISO VIEJO"/>
    <s v="SOUTH"/>
    <x v="2"/>
    <n v="32526.203896617499"/>
    <n v="24125242.085381299"/>
    <n v="553.84107572984499"/>
    <n v="83"/>
    <n v="45"/>
    <n v="100"/>
    <n v="0"/>
    <n v="0"/>
    <n v="0"/>
    <n v="0"/>
    <n v="0"/>
    <n v="0"/>
    <n v="0"/>
    <n v="0"/>
    <n v="0"/>
    <n v="0"/>
    <n v="0"/>
    <n v="3"/>
    <n v="1.55"/>
    <n v="7.3333333333333001E-2"/>
    <n v="1.05"/>
    <n v="6.3750000000000001E-2"/>
    <n v="0.11475"/>
    <n v="9.758E-2"/>
    <m/>
    <m/>
    <m/>
    <x v="0"/>
    <m/>
    <m/>
    <m/>
    <m/>
    <m/>
    <m/>
    <m/>
    <m/>
    <m/>
    <m/>
    <m/>
    <m/>
    <m/>
    <m/>
    <m/>
    <m/>
    <m/>
    <m/>
    <m/>
    <n v="4.8171910165281981E-2"/>
    <n v="459.68809285577134"/>
    <n v="70"/>
    <n v="90"/>
    <n v="40"/>
    <n v="90"/>
    <n v="40"/>
    <n v="1"/>
    <n v="17.5"/>
    <n v="22.5"/>
    <n v="10"/>
    <n v="9"/>
    <n v="6"/>
    <x v="56"/>
  </r>
  <r>
    <s v="J03-9368-1"/>
    <s v="J03TBN1"/>
    <n v="48"/>
    <m/>
    <m/>
    <n v="9368"/>
    <s v="J03"/>
    <n v="1"/>
    <n v="0"/>
    <s v="LAGUNA NIGUEL"/>
    <s v="SOUTH"/>
    <x v="2"/>
    <n v="12367.8105293232"/>
    <n v="4022472.2006056202"/>
    <n v="92.343543032331098"/>
    <n v="91"/>
    <n v="73"/>
    <n v="0"/>
    <n v="0"/>
    <n v="0"/>
    <n v="0"/>
    <n v="99"/>
    <n v="0"/>
    <n v="0"/>
    <n v="0"/>
    <n v="0"/>
    <n v="0"/>
    <n v="0"/>
    <n v="1"/>
    <n v="2"/>
    <n v="0.3"/>
    <n v="8.5000000000000006E-3"/>
    <n v="1.1000000000000001"/>
    <n v="1.7849999999999999E-3"/>
    <n v="3.0599999999999998E-3"/>
    <n v="2.4225000000000002E-3"/>
    <s v="Direct Connection"/>
    <s v="Flowing"/>
    <s v="Flowing"/>
    <x v="3"/>
    <m/>
    <m/>
    <m/>
    <m/>
    <m/>
    <m/>
    <m/>
    <m/>
    <m/>
    <m/>
    <m/>
    <m/>
    <m/>
    <m/>
    <m/>
    <m/>
    <m/>
    <m/>
    <m/>
    <n v="1.1959054352879239E-3"/>
    <n v="84.032624159421303"/>
    <n v="60"/>
    <n v="30"/>
    <n v="40"/>
    <n v="50"/>
    <n v="60"/>
    <n v="1"/>
    <n v="15"/>
    <n v="7.5"/>
    <n v="10"/>
    <n v="5"/>
    <n v="9"/>
    <x v="49"/>
  </r>
  <r>
    <s v="J03-9368-2"/>
    <s v="J03TBN2"/>
    <n v="60"/>
    <m/>
    <m/>
    <n v="9368"/>
    <s v="J03"/>
    <n v="1"/>
    <n v="0"/>
    <s v="LAGUNA NIGUEL"/>
    <s v="SOUTH"/>
    <x v="2"/>
    <n v="6407.3449032214703"/>
    <n v="1491107.42977236"/>
    <n v="34.231223048920299"/>
    <n v="90"/>
    <n v="90"/>
    <n v="0"/>
    <n v="0"/>
    <n v="0"/>
    <n v="0"/>
    <n v="100"/>
    <n v="0"/>
    <n v="0"/>
    <n v="0"/>
    <n v="0"/>
    <n v="0"/>
    <n v="0"/>
    <n v="0"/>
    <n v="2"/>
    <n v="0.215"/>
    <n v="1.4999999999999999E-2"/>
    <n v="1.1666666666666601"/>
    <n v="1.813333333333E-3"/>
    <n v="2.9750000000000002E-3"/>
    <n v="2.3941666666669999E-3"/>
    <s v="Direct Connection"/>
    <s v="Flowing"/>
    <s v="Flowing"/>
    <x v="3"/>
    <m/>
    <m/>
    <m/>
    <m/>
    <m/>
    <m/>
    <m/>
    <m/>
    <m/>
    <m/>
    <m/>
    <m/>
    <m/>
    <m/>
    <m/>
    <m/>
    <m/>
    <m/>
    <m/>
    <n v="1.1819182372145454E-3"/>
    <n v="30.80810074402827"/>
    <n v="60"/>
    <n v="30"/>
    <n v="40"/>
    <n v="30"/>
    <n v="60"/>
    <n v="1"/>
    <n v="15"/>
    <n v="7.5"/>
    <n v="10"/>
    <n v="3"/>
    <n v="9"/>
    <x v="57"/>
  </r>
  <r>
    <s v="J07-9109-1"/>
    <m/>
    <n v="36"/>
    <m/>
    <m/>
    <n v="9109"/>
    <s v="J07"/>
    <n v="1"/>
    <n v="0"/>
    <s v="MISSION VIEJO"/>
    <s v="SOUTH"/>
    <x v="2"/>
    <m/>
    <m/>
    <m/>
    <m/>
    <m/>
    <m/>
    <m/>
    <m/>
    <m/>
    <m/>
    <m/>
    <m/>
    <m/>
    <m/>
    <m/>
    <m/>
    <m/>
    <n v="1"/>
    <n v="0.3"/>
    <n v="0.05"/>
    <n v="0.15"/>
    <n v="1.9124999999999999E-3"/>
    <n v="1.9124999999999999E-3"/>
    <n v="1.9124999999999999E-3"/>
    <m/>
    <m/>
    <m/>
    <x v="0"/>
    <m/>
    <m/>
    <m/>
    <m/>
    <m/>
    <m/>
    <m/>
    <m/>
    <m/>
    <m/>
    <m/>
    <m/>
    <m/>
    <m/>
    <m/>
    <m/>
    <m/>
    <m/>
    <m/>
    <n v="9.4413586996415033E-4"/>
    <n v="0"/>
    <n v="70"/>
    <n v="30"/>
    <n v="40"/>
    <n v="30"/>
    <n v="20"/>
    <n v="1"/>
    <n v="17.5"/>
    <n v="7.5"/>
    <n v="10"/>
    <n v="3"/>
    <n v="3"/>
    <x v="0"/>
  </r>
  <r>
    <s v="J07-9109-2"/>
    <m/>
    <n v="48"/>
    <m/>
    <m/>
    <n v="9109"/>
    <s v="J07"/>
    <n v="1"/>
    <n v="0"/>
    <s v="MISSION VIEJO"/>
    <s v="SOUTH"/>
    <x v="2"/>
    <n v="15823.9421951476"/>
    <n v="8912129.6553708706"/>
    <n v="204.59498221430701"/>
    <n v="60"/>
    <n v="59"/>
    <n v="0"/>
    <n v="0"/>
    <n v="0"/>
    <n v="0"/>
    <n v="0"/>
    <n v="0"/>
    <n v="2"/>
    <n v="98"/>
    <n v="0"/>
    <n v="0"/>
    <n v="0"/>
    <n v="0"/>
    <n v="2"/>
    <n v="0.65"/>
    <n v="0.26"/>
    <n v="0.42499999999999999"/>
    <n v="2.5500000000000002E-3"/>
    <n v="0.17849999999999999"/>
    <n v="9.0524999999999994E-2"/>
    <s v="None - Flow Infiltrates"/>
    <s v="Flowing"/>
    <s v="Flowing"/>
    <x v="3"/>
    <m/>
    <m/>
    <m/>
    <m/>
    <m/>
    <m/>
    <m/>
    <m/>
    <m/>
    <m/>
    <m/>
    <m/>
    <m/>
    <m/>
    <m/>
    <m/>
    <m/>
    <m/>
    <m/>
    <n v="4.4689097844969786E-2"/>
    <n v="122.75698932858421"/>
    <n v="60"/>
    <n v="90"/>
    <n v="40"/>
    <n v="70"/>
    <n v="60"/>
    <n v="0"/>
    <n v="0"/>
    <n v="0"/>
    <n v="0"/>
    <n v="0"/>
    <n v="0"/>
    <x v="58"/>
  </r>
  <r>
    <s v="J07-9110-1"/>
    <m/>
    <n v="36"/>
    <m/>
    <m/>
    <n v="9110"/>
    <s v="J07"/>
    <n v="1"/>
    <n v="0"/>
    <s v="MISSION VIEJO"/>
    <s v="SOUTH"/>
    <x v="2"/>
    <n v="9898.5179013252291"/>
    <n v="4448267.6441821102"/>
    <n v="102.118491846385"/>
    <n v="84"/>
    <n v="84"/>
    <n v="0"/>
    <n v="0"/>
    <n v="0"/>
    <n v="0"/>
    <n v="0"/>
    <n v="0"/>
    <n v="0"/>
    <n v="100"/>
    <n v="0"/>
    <n v="0"/>
    <n v="0"/>
    <n v="0"/>
    <n v="1"/>
    <n v="0.3"/>
    <n v="5.0000000000000001E-3"/>
    <n v="0.22222222222222199"/>
    <n v="2.8333333333300002E-4"/>
    <n v="2.8333333333300002E-4"/>
    <n v="2.8333333333300002E-4"/>
    <m/>
    <m/>
    <m/>
    <x v="0"/>
    <m/>
    <m/>
    <m/>
    <m/>
    <m/>
    <m/>
    <m/>
    <m/>
    <m/>
    <m/>
    <m/>
    <m/>
    <m/>
    <m/>
    <m/>
    <m/>
    <m/>
    <m/>
    <m/>
    <n v="1.3987198073526515E-4"/>
    <n v="85.779533150963402"/>
    <n v="70"/>
    <n v="30"/>
    <n v="40"/>
    <n v="50"/>
    <n v="20"/>
    <n v="1"/>
    <n v="17.5"/>
    <n v="7.5"/>
    <n v="10"/>
    <n v="5"/>
    <n v="3"/>
    <x v="59"/>
  </r>
  <r>
    <s v="J07-9110-2"/>
    <m/>
    <n v="48"/>
    <m/>
    <m/>
    <n v="9110"/>
    <s v="J07"/>
    <n v="1"/>
    <n v="0"/>
    <s v="MISSION VIEJO"/>
    <s v="SOUTH"/>
    <x v="2"/>
    <n v="11730.484596320601"/>
    <n v="5166946.30801138"/>
    <n v="118.617135170693"/>
    <n v="59"/>
    <n v="49"/>
    <n v="0"/>
    <n v="0"/>
    <n v="0"/>
    <n v="0"/>
    <n v="0"/>
    <n v="0"/>
    <n v="0"/>
    <n v="100"/>
    <n v="0"/>
    <n v="0"/>
    <n v="0"/>
    <n v="0"/>
    <n v="3"/>
    <n v="0.35"/>
    <n v="8.3333333333330002E-3"/>
    <n v="0.46666666666666701"/>
    <n v="7.4375000000000005E-4"/>
    <n v="1.3600000000000001E-3"/>
    <n v="1.1262500000000001E-3"/>
    <s v="Direct Connection"/>
    <s v="Flowing"/>
    <s v="Flowing"/>
    <x v="3"/>
    <m/>
    <m/>
    <m/>
    <m/>
    <m/>
    <m/>
    <m/>
    <m/>
    <m/>
    <m/>
    <m/>
    <m/>
    <m/>
    <m/>
    <m/>
    <m/>
    <m/>
    <m/>
    <m/>
    <n v="5.5599112342333301E-4"/>
    <n v="69.984109750708882"/>
    <n v="60"/>
    <n v="30"/>
    <n v="40"/>
    <n v="50"/>
    <n v="60"/>
    <n v="1"/>
    <n v="15"/>
    <n v="7.5"/>
    <n v="10"/>
    <n v="5"/>
    <n v="9"/>
    <x v="49"/>
  </r>
  <r>
    <s v="J07-9110-3"/>
    <m/>
    <n v="36"/>
    <m/>
    <m/>
    <n v="9110"/>
    <s v="J07"/>
    <n v="1"/>
    <n v="0"/>
    <s v="MISSION VIEJO"/>
    <s v="SOUTH"/>
    <x v="2"/>
    <n v="9456.6566248229101"/>
    <n v="1206610.6159207299"/>
    <n v="27.700054538044501"/>
    <n v="76"/>
    <n v="76"/>
    <n v="0"/>
    <n v="0"/>
    <n v="0"/>
    <n v="0"/>
    <n v="0"/>
    <n v="0"/>
    <n v="0"/>
    <n v="100"/>
    <n v="0"/>
    <n v="0"/>
    <n v="0"/>
    <n v="0"/>
    <n v="2"/>
    <n v="0.65"/>
    <n v="8.7499999999999994E-2"/>
    <n v="0.19166666666666701"/>
    <n v="2.1249999999999999E-4"/>
    <n v="2.1193333333332998E-2"/>
    <n v="1.0702916666666999E-2"/>
    <s v="Direct Connection"/>
    <s v="Flowing"/>
    <s v="Flowing"/>
    <x v="3"/>
    <m/>
    <m/>
    <m/>
    <m/>
    <m/>
    <m/>
    <m/>
    <m/>
    <m/>
    <m/>
    <m/>
    <m/>
    <m/>
    <m/>
    <m/>
    <m/>
    <m/>
    <m/>
    <m/>
    <n v="5.283664072281021E-3"/>
    <n v="21.052041448913819"/>
    <n v="60"/>
    <n v="50"/>
    <n v="40"/>
    <n v="30"/>
    <n v="60"/>
    <n v="1"/>
    <n v="15"/>
    <n v="12.5"/>
    <n v="10"/>
    <n v="3"/>
    <n v="9"/>
    <x v="11"/>
  </r>
  <r>
    <s v="K01-12036-10"/>
    <m/>
    <n v="54"/>
    <m/>
    <m/>
    <n v="12036"/>
    <s v="K01"/>
    <n v="1"/>
    <n v="0"/>
    <s v="LAGUNA NIGUEL"/>
    <s v="SOUTH"/>
    <x v="0"/>
    <n v="22387.540402897899"/>
    <n v="8074763.9375076303"/>
    <n v="185.37165055531901"/>
    <n v="72"/>
    <n v="72"/>
    <n v="0"/>
    <n v="0"/>
    <n v="0"/>
    <n v="0"/>
    <n v="100"/>
    <n v="0"/>
    <n v="0"/>
    <n v="0"/>
    <n v="0"/>
    <n v="0"/>
    <n v="0"/>
    <n v="0"/>
    <n v="2"/>
    <n v="0.76"/>
    <n v="0.03"/>
    <n v="0.30788153579008298"/>
    <n v="1.9124999999999999E-3"/>
    <n v="5.2643256801079997E-3"/>
    <n v="3.5884128400539999E-3"/>
    <m/>
    <m/>
    <m/>
    <x v="0"/>
    <m/>
    <m/>
    <m/>
    <m/>
    <m/>
    <m/>
    <m/>
    <m/>
    <m/>
    <m/>
    <m/>
    <m/>
    <m/>
    <m/>
    <m/>
    <m/>
    <m/>
    <m/>
    <m/>
    <n v="1.7714767469463586E-3"/>
    <n v="133.46758839982968"/>
    <n v="70"/>
    <n v="30"/>
    <n v="40"/>
    <n v="70"/>
    <n v="40"/>
    <n v="1"/>
    <n v="17.5"/>
    <n v="7.5"/>
    <n v="10"/>
    <n v="7"/>
    <n v="6"/>
    <x v="50"/>
  </r>
  <r>
    <s v="K01-12036-5"/>
    <m/>
    <n v="42"/>
    <m/>
    <m/>
    <n v="12036"/>
    <s v="K01"/>
    <n v="1"/>
    <n v="0"/>
    <s v="LAGUNA NIGUEL"/>
    <s v="SOUTH"/>
    <x v="0"/>
    <n v="6831.0000486383196"/>
    <n v="1222998.1249955599"/>
    <n v="28.076261152776699"/>
    <n v="82"/>
    <n v="82"/>
    <n v="0"/>
    <n v="0"/>
    <n v="0"/>
    <n v="0"/>
    <n v="100"/>
    <n v="0"/>
    <n v="0"/>
    <n v="0"/>
    <n v="0"/>
    <n v="0"/>
    <n v="0"/>
    <n v="0"/>
    <n v="3"/>
    <n v="2.2333333333333298"/>
    <n v="0.08"/>
    <n v="0.53888888888888897"/>
    <n v="3.4424999999999997E-2"/>
    <n v="6.6640000000000005E-2"/>
    <n v="5.1821666666667002E-2"/>
    <m/>
    <m/>
    <m/>
    <x v="0"/>
    <m/>
    <m/>
    <m/>
    <m/>
    <m/>
    <m/>
    <m/>
    <m/>
    <m/>
    <m/>
    <m/>
    <m/>
    <m/>
    <m/>
    <m/>
    <m/>
    <m/>
    <m/>
    <m/>
    <n v="2.5582585276510254E-2"/>
    <n v="23.022534145276889"/>
    <n v="70"/>
    <n v="70"/>
    <n v="40"/>
    <n v="30"/>
    <n v="40"/>
    <n v="1"/>
    <n v="17.5"/>
    <n v="17.5"/>
    <n v="10"/>
    <n v="3"/>
    <n v="6"/>
    <x v="60"/>
  </r>
  <r>
    <s v="K01-12138-1"/>
    <s v="K01TBN1"/>
    <n v="42"/>
    <m/>
    <m/>
    <n v="12138"/>
    <s v="K01"/>
    <n v="1"/>
    <n v="0"/>
    <s v="LAGUNA NIGUEL"/>
    <s v="SOUTH"/>
    <x v="0"/>
    <n v="12361.4369690968"/>
    <n v="3956637.4918455398"/>
    <n v="90.832181372580806"/>
    <n v="96"/>
    <n v="96"/>
    <n v="0"/>
    <n v="0"/>
    <n v="0"/>
    <n v="0"/>
    <n v="100"/>
    <n v="0"/>
    <n v="0"/>
    <n v="0"/>
    <n v="0"/>
    <n v="0"/>
    <n v="0"/>
    <n v="0"/>
    <n v="2"/>
    <n v="0.375"/>
    <n v="1.2500000000000001E-2"/>
    <n v="1.3333333333333299"/>
    <n v="1.4875000000000001E-3"/>
    <n v="1.1333333333332999E-2"/>
    <n v="6.4104166666669998E-3"/>
    <m/>
    <m/>
    <m/>
    <x v="0"/>
    <m/>
    <m/>
    <m/>
    <m/>
    <m/>
    <m/>
    <m/>
    <m/>
    <m/>
    <m/>
    <m/>
    <m/>
    <m/>
    <m/>
    <m/>
    <m/>
    <m/>
    <m/>
    <m/>
    <n v="3.1646035641392611E-3"/>
    <n v="87.198894117677568"/>
    <n v="70"/>
    <n v="30"/>
    <n v="40"/>
    <n v="50"/>
    <n v="40"/>
    <n v="1"/>
    <n v="17.5"/>
    <n v="7.5"/>
    <n v="10"/>
    <n v="5"/>
    <n v="6"/>
    <x v="51"/>
  </r>
  <r>
    <s v="K01-12156-4"/>
    <m/>
    <n v="192"/>
    <m/>
    <m/>
    <n v="12156"/>
    <s v="K01"/>
    <n v="1"/>
    <n v="2"/>
    <s v="LAGUNA NIGUEL"/>
    <s v="SOUTH"/>
    <x v="0"/>
    <n v="38968.786771960898"/>
    <n v="60942158.232183099"/>
    <n v="1399.04380454125"/>
    <n v="61"/>
    <n v="58"/>
    <n v="0"/>
    <n v="0"/>
    <n v="0"/>
    <n v="0"/>
    <n v="99"/>
    <n v="0"/>
    <n v="0"/>
    <n v="0"/>
    <n v="0"/>
    <n v="0"/>
    <n v="0"/>
    <n v="1"/>
    <n v="1"/>
    <n v="2"/>
    <n v="0.1"/>
    <n v="2.4691358024691299"/>
    <n v="0.41975308641975301"/>
    <n v="0.41975308641975301"/>
    <n v="0.41975308641975301"/>
    <m/>
    <m/>
    <m/>
    <x v="0"/>
    <m/>
    <m/>
    <m/>
    <m/>
    <m/>
    <m/>
    <m/>
    <m/>
    <m/>
    <m/>
    <m/>
    <m/>
    <m/>
    <m/>
    <m/>
    <m/>
    <m/>
    <m/>
    <m/>
    <n v="0.20721774923767358"/>
    <n v="853.41672077016256"/>
    <n v="70"/>
    <n v="100"/>
    <n v="40"/>
    <n v="100"/>
    <n v="20"/>
    <n v="1"/>
    <n v="17.5"/>
    <n v="25"/>
    <n v="10"/>
    <n v="10"/>
    <n v="3"/>
    <x v="61"/>
  </r>
  <r>
    <s v="L00-12094-1"/>
    <s v="L00P01"/>
    <n v="66"/>
    <m/>
    <m/>
    <n v="12094"/>
    <s v="L00"/>
    <n v="1"/>
    <n v="0"/>
    <s v="DANA POINT"/>
    <s v="SOUTH"/>
    <x v="1"/>
    <n v="13401.232118039899"/>
    <n v="5684515.4946329501"/>
    <n v="130.498925789358"/>
    <n v="100"/>
    <n v="70"/>
    <n v="0"/>
    <n v="100"/>
    <n v="0"/>
    <n v="0"/>
    <n v="0"/>
    <n v="0"/>
    <n v="0"/>
    <n v="0"/>
    <n v="0"/>
    <n v="0"/>
    <n v="0"/>
    <n v="0"/>
    <n v="3"/>
    <n v="0.39"/>
    <n v="4.3333333333330001E-3"/>
    <n v="1.6666666666666601"/>
    <n v="5.44E-4"/>
    <n v="8.5000000000000006E-3"/>
    <n v="3.2130000000000001E-3"/>
    <s v="None - Flow Infiltrates"/>
    <m/>
    <s v="Pooled or Ponded"/>
    <x v="2"/>
    <m/>
    <m/>
    <m/>
    <m/>
    <m/>
    <m/>
    <m/>
    <m/>
    <m/>
    <m/>
    <m/>
    <m/>
    <m/>
    <m/>
    <m/>
    <m/>
    <m/>
    <m/>
    <m/>
    <n v="1.5861482615397728E-3"/>
    <n v="130.498925789358"/>
    <n v="100"/>
    <n v="30"/>
    <n v="40"/>
    <n v="70"/>
    <n v="60"/>
    <n v="0"/>
    <n v="0"/>
    <n v="0"/>
    <n v="0"/>
    <n v="0"/>
    <n v="0"/>
    <x v="58"/>
  </r>
  <r>
    <s v="L01-125-2"/>
    <m/>
    <n v="45"/>
    <m/>
    <m/>
    <n v="125"/>
    <s v="L01"/>
    <n v="1"/>
    <n v="0"/>
    <s v="RANCHO SANTA MARGARITA"/>
    <s v="SOUTH"/>
    <x v="1"/>
    <n v="12465.159821270599"/>
    <n v="4934047.0104237199"/>
    <n v="113.27048633474899"/>
    <n v="10"/>
    <n v="9"/>
    <n v="0"/>
    <n v="0"/>
    <n v="0"/>
    <n v="0"/>
    <n v="0"/>
    <n v="0"/>
    <n v="0"/>
    <n v="0"/>
    <n v="52"/>
    <n v="48"/>
    <n v="0"/>
    <n v="0"/>
    <n v="1"/>
    <n v="0.3"/>
    <n v="0.7"/>
    <n v="0.2"/>
    <n v="3.5700000000000003E-2"/>
    <n v="3.5700000000000003E-2"/>
    <n v="3.5700000000000003E-2"/>
    <m/>
    <m/>
    <m/>
    <x v="0"/>
    <m/>
    <m/>
    <m/>
    <m/>
    <m/>
    <m/>
    <m/>
    <m/>
    <m/>
    <m/>
    <m/>
    <m/>
    <m/>
    <m/>
    <m/>
    <m/>
    <m/>
    <m/>
    <m/>
    <n v="1.7623869572664142E-2"/>
    <n v="11.327048633474899"/>
    <n v="70"/>
    <n v="70"/>
    <n v="40"/>
    <n v="30"/>
    <n v="20"/>
    <n v="1"/>
    <n v="17.5"/>
    <n v="17.5"/>
    <n v="10"/>
    <n v="3"/>
    <n v="3"/>
    <x v="62"/>
  </r>
  <r>
    <s v="L01-218-2"/>
    <m/>
    <n v="36"/>
    <m/>
    <m/>
    <n v="218"/>
    <s v="L01"/>
    <n v="1"/>
    <n v="0"/>
    <s v="RANCHO SANTA MARGARITA"/>
    <s v="SOUTH"/>
    <x v="1"/>
    <n v="5492.3137018510897"/>
    <n v="1418445.20898326"/>
    <n v="32.563122791757003"/>
    <n v="79"/>
    <n v="79"/>
    <n v="0"/>
    <n v="0"/>
    <n v="0"/>
    <n v="0"/>
    <n v="0"/>
    <n v="0"/>
    <n v="0"/>
    <n v="0"/>
    <n v="0"/>
    <n v="100"/>
    <n v="0"/>
    <n v="0"/>
    <n v="1"/>
    <n v="0.3"/>
    <n v="0.01"/>
    <n v="2"/>
    <n v="5.1000000000000004E-3"/>
    <n v="5.1000000000000004E-3"/>
    <n v="5.1000000000000004E-3"/>
    <m/>
    <m/>
    <m/>
    <x v="0"/>
    <m/>
    <m/>
    <m/>
    <m/>
    <m/>
    <m/>
    <m/>
    <m/>
    <m/>
    <m/>
    <m/>
    <m/>
    <m/>
    <m/>
    <m/>
    <m/>
    <m/>
    <m/>
    <m/>
    <n v="2.5176956532377347E-3"/>
    <n v="25.724867005488033"/>
    <n v="70"/>
    <n v="30"/>
    <n v="40"/>
    <n v="30"/>
    <n v="20"/>
    <n v="1"/>
    <n v="17.5"/>
    <n v="7.5"/>
    <n v="10"/>
    <n v="3"/>
    <n v="3"/>
    <x v="0"/>
  </r>
  <r>
    <s v="L01-223-1"/>
    <s v="L08TBN1"/>
    <n v="60"/>
    <m/>
    <m/>
    <n v="223"/>
    <s v="L01"/>
    <n v="1"/>
    <n v="0"/>
    <s v="RANCHO SANTA MARGARITA"/>
    <s v="SOUTH"/>
    <x v="1"/>
    <n v="13991.243002029199"/>
    <n v="5962437.9382879501"/>
    <n v="136.87916705776101"/>
    <n v="52"/>
    <n v="52"/>
    <n v="0"/>
    <n v="0"/>
    <n v="0"/>
    <n v="0"/>
    <n v="0"/>
    <n v="0"/>
    <n v="0"/>
    <n v="0"/>
    <n v="4"/>
    <n v="96"/>
    <n v="0"/>
    <n v="0"/>
    <n v="1"/>
    <n v="0.2"/>
    <n v="0.02"/>
    <n v="1"/>
    <n v="3.3999999999999998E-3"/>
    <n v="3.3999999999999998E-3"/>
    <n v="3.3999999999999998E-3"/>
    <m/>
    <m/>
    <m/>
    <x v="0"/>
    <m/>
    <m/>
    <m/>
    <m/>
    <m/>
    <m/>
    <m/>
    <m/>
    <m/>
    <m/>
    <m/>
    <m/>
    <m/>
    <m/>
    <m/>
    <m/>
    <m/>
    <m/>
    <m/>
    <n v="1.6784637688251561E-3"/>
    <n v="71.17716687003572"/>
    <n v="70"/>
    <n v="30"/>
    <n v="40"/>
    <n v="50"/>
    <n v="20"/>
    <n v="1"/>
    <n v="17.5"/>
    <n v="7.5"/>
    <n v="10"/>
    <n v="5"/>
    <n v="3"/>
    <x v="59"/>
  </r>
  <r>
    <s v="L01-261-1"/>
    <s v="L07"/>
    <n v="66"/>
    <m/>
    <m/>
    <n v="261"/>
    <s v="L01"/>
    <n v="1"/>
    <n v="0"/>
    <s v="ORANGE CO"/>
    <s v="SOUTH"/>
    <x v="1"/>
    <n v="13724.701221622399"/>
    <n v="6518239.4396117097"/>
    <n v="149.63865358626899"/>
    <n v="55"/>
    <n v="55"/>
    <n v="0"/>
    <n v="0"/>
    <n v="0"/>
    <n v="0"/>
    <n v="0"/>
    <n v="0"/>
    <n v="0"/>
    <n v="0"/>
    <n v="100"/>
    <n v="0"/>
    <n v="0"/>
    <n v="0"/>
    <n v="1"/>
    <n v="0.94"/>
    <n v="0.01"/>
    <n v="0.6"/>
    <n v="4.7939999999999997E-3"/>
    <n v="4.7939999999999997E-3"/>
    <n v="4.7939999999999997E-3"/>
    <m/>
    <m/>
    <m/>
    <x v="0"/>
    <m/>
    <m/>
    <m/>
    <m/>
    <m/>
    <m/>
    <m/>
    <m/>
    <m/>
    <m/>
    <m/>
    <m/>
    <m/>
    <m/>
    <m/>
    <m/>
    <m/>
    <m/>
    <m/>
    <n v="2.3666339140434702E-3"/>
    <n v="82.301259472447953"/>
    <n v="70"/>
    <n v="30"/>
    <n v="40"/>
    <n v="50"/>
    <n v="20"/>
    <n v="1"/>
    <n v="17.5"/>
    <n v="7.5"/>
    <n v="10"/>
    <n v="5"/>
    <n v="3"/>
    <x v="59"/>
  </r>
  <r>
    <s v="L01-340-1"/>
    <m/>
    <n v="90"/>
    <m/>
    <m/>
    <n v="340"/>
    <s v="L01"/>
    <n v="1"/>
    <n v="0"/>
    <s v="ORANGE CO"/>
    <s v="SOUTH"/>
    <x v="1"/>
    <n v="14406.755887253101"/>
    <n v="7382165.0242005"/>
    <n v="169.471717786239"/>
    <n v="66"/>
    <n v="66"/>
    <n v="0"/>
    <n v="0"/>
    <n v="0"/>
    <n v="0"/>
    <n v="0"/>
    <n v="0"/>
    <n v="0"/>
    <n v="0"/>
    <n v="99"/>
    <n v="1"/>
    <n v="0"/>
    <n v="0"/>
    <n v="2"/>
    <n v="0.65"/>
    <n v="4.4999999999999998E-2"/>
    <n v="1.75"/>
    <n v="3.8249999999999999E-2"/>
    <n v="4.0800000000000003E-2"/>
    <n v="3.9524999999999998E-2"/>
    <m/>
    <m/>
    <m/>
    <x v="3"/>
    <m/>
    <m/>
    <m/>
    <m/>
    <m/>
    <m/>
    <m/>
    <m/>
    <m/>
    <m/>
    <m/>
    <m/>
    <m/>
    <m/>
    <m/>
    <m/>
    <m/>
    <m/>
    <m/>
    <n v="1.9512141312592442E-2"/>
    <n v="111.85133373891775"/>
    <n v="60"/>
    <n v="70"/>
    <n v="40"/>
    <n v="50"/>
    <n v="40"/>
    <n v="1"/>
    <n v="15"/>
    <n v="17.5"/>
    <n v="10"/>
    <n v="5"/>
    <n v="6"/>
    <x v="63"/>
  </r>
  <r>
    <s v="L01-372-1"/>
    <m/>
    <n v="42"/>
    <m/>
    <m/>
    <n v="372"/>
    <s v="L01"/>
    <n v="1"/>
    <n v="0"/>
    <s v="ORANGE CO"/>
    <s v="SOUTH"/>
    <x v="1"/>
    <n v="11448.839578814899"/>
    <n v="5123289.6766964504"/>
    <n v="117.61491369807"/>
    <n v="57"/>
    <n v="57"/>
    <n v="0"/>
    <n v="0"/>
    <n v="0"/>
    <n v="0"/>
    <n v="0"/>
    <n v="0"/>
    <n v="0"/>
    <n v="0"/>
    <n v="100"/>
    <n v="0"/>
    <n v="0"/>
    <n v="0"/>
    <n v="1"/>
    <n v="0.64"/>
    <n v="0.02"/>
    <n v="0.75"/>
    <n v="8.1600000000000006E-3"/>
    <n v="8.1600000000000006E-3"/>
    <n v="8.1600000000000006E-3"/>
    <m/>
    <m/>
    <m/>
    <x v="0"/>
    <m/>
    <m/>
    <m/>
    <m/>
    <m/>
    <m/>
    <m/>
    <m/>
    <m/>
    <m/>
    <m/>
    <m/>
    <m/>
    <m/>
    <m/>
    <m/>
    <m/>
    <m/>
    <m/>
    <n v="4.0283130451803754E-3"/>
    <n v="67.040500807899903"/>
    <n v="70"/>
    <n v="30"/>
    <n v="40"/>
    <n v="50"/>
    <n v="20"/>
    <n v="1"/>
    <n v="17.5"/>
    <n v="7.5"/>
    <n v="10"/>
    <n v="5"/>
    <n v="3"/>
    <x v="59"/>
  </r>
  <r>
    <s v="L01-404-1"/>
    <m/>
    <n v="72"/>
    <m/>
    <m/>
    <n v="404"/>
    <s v="L01"/>
    <n v="1"/>
    <n v="0"/>
    <s v="ORANGE CO"/>
    <s v="SOUTH"/>
    <x v="1"/>
    <n v="16322.2209226676"/>
    <n v="10358119.365329999"/>
    <n v="237.79044170954401"/>
    <n v="49"/>
    <n v="49"/>
    <n v="0"/>
    <n v="0"/>
    <n v="0"/>
    <n v="0"/>
    <n v="0"/>
    <n v="0"/>
    <n v="0"/>
    <n v="0"/>
    <n v="100"/>
    <n v="0"/>
    <n v="0"/>
    <n v="0"/>
    <n v="2"/>
    <n v="0.5"/>
    <n v="3.5000000000000003E-2"/>
    <n v="2"/>
    <n v="5.1000000000000004E-3"/>
    <n v="6.5024999999999999E-2"/>
    <n v="3.5062500000000003E-2"/>
    <s v="Direct Connection"/>
    <s v="Flowing"/>
    <s v="Flowing"/>
    <x v="3"/>
    <m/>
    <m/>
    <m/>
    <m/>
    <m/>
    <m/>
    <m/>
    <m/>
    <m/>
    <m/>
    <m/>
    <m/>
    <m/>
    <m/>
    <m/>
    <m/>
    <m/>
    <m/>
    <m/>
    <n v="1.7309157616009426E-2"/>
    <n v="116.51731643767657"/>
    <n v="60"/>
    <n v="70"/>
    <n v="40"/>
    <n v="50"/>
    <n v="60"/>
    <n v="1"/>
    <n v="15"/>
    <n v="17.5"/>
    <n v="10"/>
    <n v="5"/>
    <n v="9"/>
    <x v="9"/>
  </r>
  <r>
    <s v="L01-618-5"/>
    <s v="L01S09"/>
    <m/>
    <n v="53"/>
    <n v="120"/>
    <n v="618"/>
    <s v="L01"/>
    <n v="1"/>
    <n v="1"/>
    <s v="SAN JUAN CAPISTRANO"/>
    <s v="SOUTH"/>
    <x v="1"/>
    <n v="27515.828511582698"/>
    <n v="17119285.968831599"/>
    <n v="393.00595298273799"/>
    <n v="30"/>
    <n v="29"/>
    <n v="0"/>
    <n v="0"/>
    <n v="0"/>
    <n v="0"/>
    <n v="0"/>
    <n v="0"/>
    <n v="0"/>
    <n v="0"/>
    <n v="0"/>
    <n v="0"/>
    <n v="0"/>
    <n v="100"/>
    <n v="2"/>
    <n v="0.32500000000000001"/>
    <n v="1.4999999999999999E-2"/>
    <n v="0.66666666666666696"/>
    <n v="1.9124999999999999E-3"/>
    <n v="2.5500000000000002E-3"/>
    <n v="2.2312500000000002E-3"/>
    <s v="None - Flow Infiltrates"/>
    <s v="Dry"/>
    <s v="Dry"/>
    <x v="3"/>
    <m/>
    <m/>
    <m/>
    <m/>
    <m/>
    <m/>
    <m/>
    <m/>
    <m/>
    <m/>
    <m/>
    <m/>
    <m/>
    <m/>
    <m/>
    <m/>
    <m/>
    <m/>
    <m/>
    <n v="1.1014918482915089E-3"/>
    <n v="117.9017858948214"/>
    <n v="60"/>
    <n v="30"/>
    <n v="40"/>
    <n v="50"/>
    <n v="60"/>
    <n v="0"/>
    <n v="0"/>
    <n v="0"/>
    <n v="0"/>
    <n v="0"/>
    <n v="0"/>
    <x v="58"/>
  </r>
  <r>
    <s v="L01-724-1"/>
    <s v="L01S01"/>
    <m/>
    <n v="4"/>
    <n v="7"/>
    <n v="724"/>
    <s v="L01"/>
    <n v="1"/>
    <n v="1"/>
    <s v="SAN JUAN CAPISTRANO"/>
    <s v="SOUTH"/>
    <x v="1"/>
    <n v="18109.472112442701"/>
    <n v="12124199.9214973"/>
    <n v="278.33419880808901"/>
    <n v="89"/>
    <n v="85"/>
    <n v="0"/>
    <n v="37"/>
    <n v="0"/>
    <n v="0"/>
    <n v="24"/>
    <n v="0"/>
    <n v="0"/>
    <n v="0"/>
    <n v="0"/>
    <n v="0"/>
    <n v="0"/>
    <n v="39"/>
    <n v="2"/>
    <n v="1.85"/>
    <n v="0.02"/>
    <n v="1.25"/>
    <n v="2.7199999999999998E-2"/>
    <n v="5.355E-2"/>
    <n v="4.0375000000000001E-2"/>
    <s v="None - Flow Infiltrates"/>
    <s v="Pooled or Ponded"/>
    <s v="Pooled or Ponded"/>
    <x v="1"/>
    <m/>
    <m/>
    <m/>
    <m/>
    <m/>
    <m/>
    <m/>
    <m/>
    <m/>
    <m/>
    <m/>
    <m/>
    <m/>
    <m/>
    <m/>
    <m/>
    <m/>
    <m/>
    <m/>
    <n v="1.9931757254798732E-2"/>
    <n v="247.71743693919922"/>
    <n v="80"/>
    <n v="70"/>
    <n v="40"/>
    <n v="90"/>
    <n v="60"/>
    <n v="0"/>
    <n v="0"/>
    <n v="0"/>
    <n v="0"/>
    <n v="0"/>
    <n v="0"/>
    <x v="58"/>
  </r>
  <r>
    <s v="L01-727-1"/>
    <s v="L01S04"/>
    <n v="96"/>
    <m/>
    <m/>
    <n v="727"/>
    <s v="L01"/>
    <n v="1"/>
    <n v="0"/>
    <s v="DANA POINT"/>
    <s v="SOUTH"/>
    <x v="1"/>
    <n v="27645.182571798199"/>
    <n v="18800779.801328599"/>
    <n v="431.607860052825"/>
    <n v="84"/>
    <n v="81"/>
    <n v="0"/>
    <n v="99"/>
    <n v="0"/>
    <n v="0"/>
    <n v="1"/>
    <n v="0"/>
    <n v="0"/>
    <n v="0"/>
    <n v="0"/>
    <n v="0"/>
    <n v="0"/>
    <n v="0"/>
    <n v="1"/>
    <n v="1.3"/>
    <n v="7.0000000000000007E-2"/>
    <n v="1.1320754716981101"/>
    <n v="8.7566037735849006E-2"/>
    <n v="8.7566037735849006E-2"/>
    <n v="8.7566037735849006E-2"/>
    <m/>
    <m/>
    <m/>
    <x v="0"/>
    <m/>
    <m/>
    <m/>
    <m/>
    <m/>
    <m/>
    <m/>
    <m/>
    <m/>
    <m/>
    <m/>
    <m/>
    <m/>
    <m/>
    <m/>
    <m/>
    <m/>
    <m/>
    <m/>
    <n v="4.3228359329176166E-2"/>
    <n v="362.550602444373"/>
    <n v="70"/>
    <n v="90"/>
    <n v="40"/>
    <n v="90"/>
    <n v="20"/>
    <n v="1"/>
    <n v="17.5"/>
    <n v="22.5"/>
    <n v="10"/>
    <n v="9"/>
    <n v="3"/>
    <x v="53"/>
  </r>
  <r>
    <s v="L01-728-3"/>
    <s v="L01S02"/>
    <m/>
    <n v="11.5"/>
    <n v="11"/>
    <n v="728"/>
    <s v="L01"/>
    <n v="1"/>
    <n v="1"/>
    <s v="DANA POINT"/>
    <s v="SOUTH"/>
    <x v="1"/>
    <n v="39643.503664076903"/>
    <n v="45297074.240426198"/>
    <n v="1039.8809776061901"/>
    <n v="43"/>
    <n v="28"/>
    <n v="0"/>
    <n v="11"/>
    <n v="0"/>
    <n v="0"/>
    <n v="0"/>
    <n v="0"/>
    <n v="0"/>
    <n v="0"/>
    <n v="0"/>
    <n v="0"/>
    <n v="0"/>
    <n v="89"/>
    <n v="1"/>
    <n v="2"/>
    <n v="0.12"/>
    <n v="0.5"/>
    <n v="0.10199999999999999"/>
    <n v="0.10199999999999999"/>
    <n v="0.10199999999999999"/>
    <m/>
    <m/>
    <m/>
    <x v="0"/>
    <m/>
    <m/>
    <m/>
    <m/>
    <m/>
    <m/>
    <m/>
    <m/>
    <m/>
    <m/>
    <m/>
    <m/>
    <m/>
    <m/>
    <m/>
    <m/>
    <m/>
    <m/>
    <m/>
    <n v="5.0353913064754681E-2"/>
    <n v="447.14882037066172"/>
    <n v="70"/>
    <n v="90"/>
    <n v="40"/>
    <n v="90"/>
    <n v="20"/>
    <n v="1"/>
    <n v="17.5"/>
    <n v="22.5"/>
    <n v="10"/>
    <n v="9"/>
    <n v="3"/>
    <x v="53"/>
  </r>
  <r>
    <s v="L01-728-5"/>
    <m/>
    <n v="60"/>
    <m/>
    <m/>
    <n v="728"/>
    <s v="L01"/>
    <n v="1"/>
    <n v="0"/>
    <s v="DANA POINT"/>
    <s v="SOUTH"/>
    <x v="1"/>
    <n v="8018.8700403862204"/>
    <n v="1076962.10454356"/>
    <n v="24.723724984385399"/>
    <n v="63"/>
    <n v="63"/>
    <n v="0"/>
    <n v="100"/>
    <n v="0"/>
    <n v="0"/>
    <n v="0"/>
    <n v="0"/>
    <n v="0"/>
    <n v="0"/>
    <n v="0"/>
    <n v="0"/>
    <n v="0"/>
    <n v="0"/>
    <n v="3"/>
    <n v="0.76666666666666705"/>
    <n v="1.8333333333333E-2"/>
    <n v="0.365079365079365"/>
    <n v="2.3678571428569998E-3"/>
    <n v="5.1000000000000004E-3"/>
    <n v="3.4455357142860001E-3"/>
    <m/>
    <m/>
    <m/>
    <x v="0"/>
    <m/>
    <m/>
    <m/>
    <m/>
    <m/>
    <m/>
    <m/>
    <m/>
    <m/>
    <m/>
    <m/>
    <m/>
    <m/>
    <m/>
    <m/>
    <m/>
    <m/>
    <m/>
    <m/>
    <n v="1.7009431943006343E-3"/>
    <n v="15.5759467401628"/>
    <n v="70"/>
    <n v="30"/>
    <n v="40"/>
    <n v="30"/>
    <n v="40"/>
    <n v="1"/>
    <n v="17.5"/>
    <n v="7.5"/>
    <n v="10"/>
    <n v="3"/>
    <n v="6"/>
    <x v="64"/>
  </r>
  <r>
    <s v="L01-730-1"/>
    <m/>
    <n v="36"/>
    <m/>
    <m/>
    <n v="730"/>
    <s v="L01"/>
    <n v="1"/>
    <n v="0"/>
    <s v="RANCHO SANTA MARGARITA"/>
    <s v="SOUTH"/>
    <x v="1"/>
    <n v="4978.8997408934101"/>
    <n v="1419284.4612243101"/>
    <n v="32.582389432164099"/>
    <n v="17"/>
    <n v="17"/>
    <n v="0"/>
    <n v="0"/>
    <n v="0"/>
    <n v="0"/>
    <n v="0"/>
    <n v="0"/>
    <n v="0"/>
    <n v="0"/>
    <n v="13"/>
    <n v="87"/>
    <n v="0"/>
    <n v="0"/>
    <n v="1"/>
    <n v="0.2"/>
    <n v="0.1"/>
    <n v="1"/>
    <n v="1.7000000000000001E-2"/>
    <n v="1.7000000000000001E-2"/>
    <n v="1.7000000000000001E-2"/>
    <m/>
    <m/>
    <m/>
    <x v="0"/>
    <m/>
    <m/>
    <m/>
    <m/>
    <m/>
    <m/>
    <m/>
    <m/>
    <m/>
    <m/>
    <m/>
    <m/>
    <m/>
    <m/>
    <m/>
    <m/>
    <m/>
    <m/>
    <m/>
    <n v="8.3923188441257825E-3"/>
    <n v="5.5390062034678964"/>
    <n v="70"/>
    <n v="50"/>
    <n v="40"/>
    <n v="30"/>
    <n v="20"/>
    <n v="1"/>
    <n v="17.5"/>
    <n v="12.5"/>
    <n v="10"/>
    <n v="3"/>
    <n v="3"/>
    <x v="51"/>
  </r>
  <r>
    <s v="L01-731-1"/>
    <s v="L08TBN2"/>
    <n v="108"/>
    <m/>
    <m/>
    <n v="731"/>
    <s v="L01"/>
    <n v="1"/>
    <n v="0"/>
    <s v="RANCHO SANTA MARGARITA"/>
    <s v="SOUTH"/>
    <x v="1"/>
    <n v="7665.41359288078"/>
    <n v="2386104.9140470098"/>
    <n v="54.777602136512598"/>
    <n v="0"/>
    <n v="0"/>
    <n v="0"/>
    <n v="0"/>
    <n v="0"/>
    <n v="0"/>
    <n v="0"/>
    <n v="0"/>
    <n v="0"/>
    <n v="0"/>
    <n v="0"/>
    <n v="100"/>
    <n v="0"/>
    <n v="0"/>
    <n v="1"/>
    <n v="1"/>
    <n v="0.1"/>
    <n v="1"/>
    <n v="8.5000000000000006E-2"/>
    <n v="8.5000000000000006E-2"/>
    <n v="8.5000000000000006E-2"/>
    <m/>
    <m/>
    <m/>
    <x v="0"/>
    <m/>
    <m/>
    <m/>
    <m/>
    <m/>
    <m/>
    <m/>
    <m/>
    <m/>
    <m/>
    <m/>
    <m/>
    <m/>
    <m/>
    <m/>
    <m/>
    <m/>
    <m/>
    <m/>
    <n v="4.1961594220628909E-2"/>
    <n v="0"/>
    <n v="70"/>
    <n v="70"/>
    <n v="40"/>
    <n v="30"/>
    <n v="20"/>
    <n v="1"/>
    <n v="17.5"/>
    <n v="17.5"/>
    <n v="10"/>
    <n v="3"/>
    <n v="3"/>
    <x v="62"/>
  </r>
  <r>
    <s v="L01-747-2"/>
    <m/>
    <n v="84"/>
    <m/>
    <m/>
    <n v="747"/>
    <s v="L01"/>
    <n v="1"/>
    <n v="0"/>
    <s v="SAN JUAN CAPISTRANO"/>
    <s v="SOUTH"/>
    <x v="1"/>
    <n v="20442.952750516699"/>
    <n v="10481231.6816977"/>
    <n v="240.61672040516899"/>
    <n v="33"/>
    <n v="29"/>
    <n v="0"/>
    <n v="0"/>
    <n v="0"/>
    <n v="0"/>
    <n v="0"/>
    <n v="0"/>
    <n v="0"/>
    <n v="0"/>
    <n v="18"/>
    <n v="0"/>
    <n v="0"/>
    <n v="82"/>
    <n v="2"/>
    <n v="0.81"/>
    <n v="0.02"/>
    <n v="0.58333333333333304"/>
    <n v="4.2500000000000003E-3"/>
    <n v="4.7600000000000003E-3"/>
    <n v="4.5050000000000003E-3"/>
    <m/>
    <s v="Dry"/>
    <s v="Dry"/>
    <x v="0"/>
    <m/>
    <m/>
    <m/>
    <m/>
    <m/>
    <m/>
    <m/>
    <m/>
    <m/>
    <m/>
    <m/>
    <m/>
    <m/>
    <m/>
    <m/>
    <m/>
    <m/>
    <m/>
    <m/>
    <n v="2.223964493693332E-3"/>
    <n v="79.403517733705769"/>
    <n v="70"/>
    <n v="30"/>
    <n v="40"/>
    <n v="50"/>
    <n v="40"/>
    <n v="1"/>
    <n v="17.5"/>
    <n v="7.5"/>
    <n v="10"/>
    <n v="5"/>
    <n v="6"/>
    <x v="51"/>
  </r>
  <r>
    <s v="L01-749-2"/>
    <m/>
    <n v="54"/>
    <m/>
    <m/>
    <n v="749"/>
    <s v="L01"/>
    <n v="1"/>
    <n v="0"/>
    <s v="SAN JUAN CAPISTRANO"/>
    <s v="SOUTH"/>
    <x v="1"/>
    <n v="14419.4271838557"/>
    <n v="4602773.8761347197"/>
    <n v="105.665477920504"/>
    <n v="78"/>
    <n v="78"/>
    <n v="0"/>
    <n v="0"/>
    <n v="0"/>
    <n v="0"/>
    <n v="0"/>
    <n v="0"/>
    <n v="0"/>
    <n v="0"/>
    <n v="0"/>
    <n v="0"/>
    <n v="0"/>
    <n v="100"/>
    <n v="1"/>
    <n v="1.1499999999999999"/>
    <n v="0.06"/>
    <n v="0.28571428571428598"/>
    <n v="1.6757142857143002E-2"/>
    <n v="1.6757142857143002E-2"/>
    <n v="1.6757142857143002E-2"/>
    <m/>
    <m/>
    <m/>
    <x v="0"/>
    <m/>
    <m/>
    <m/>
    <m/>
    <m/>
    <m/>
    <m/>
    <m/>
    <m/>
    <m/>
    <m/>
    <m/>
    <m/>
    <m/>
    <m/>
    <m/>
    <m/>
    <m/>
    <m/>
    <n v="8.2724285749240564E-3"/>
    <n v="82.419072777993108"/>
    <n v="70"/>
    <n v="50"/>
    <n v="40"/>
    <n v="50"/>
    <n v="20"/>
    <n v="1"/>
    <n v="17.5"/>
    <n v="12.5"/>
    <n v="10"/>
    <n v="5"/>
    <n v="3"/>
    <x v="50"/>
  </r>
  <r>
    <s v="L01-760-1"/>
    <m/>
    <n v="48"/>
    <m/>
    <m/>
    <n v="760"/>
    <s v="L01"/>
    <n v="1"/>
    <n v="0"/>
    <s v="ORANGE CO"/>
    <s v="SOUTH"/>
    <x v="1"/>
    <n v="5504.0116881180702"/>
    <n v="1459710.65535524"/>
    <n v="33.510450040463901"/>
    <n v="95"/>
    <n v="95"/>
    <n v="0"/>
    <n v="0"/>
    <n v="0"/>
    <n v="0"/>
    <n v="0"/>
    <n v="0"/>
    <n v="0"/>
    <n v="0"/>
    <n v="100"/>
    <n v="0"/>
    <n v="0"/>
    <n v="0"/>
    <n v="2"/>
    <n v="0.57499999999999996"/>
    <n v="1.4999999999999999E-2"/>
    <n v="1.6"/>
    <n v="7.6499999999999997E-3"/>
    <n v="1.4279999999999999E-2"/>
    <n v="1.0965000000000001E-2"/>
    <s v="Direct Connection"/>
    <s v="Flowing"/>
    <s v="Flowing"/>
    <x v="3"/>
    <m/>
    <m/>
    <m/>
    <m/>
    <m/>
    <m/>
    <m/>
    <m/>
    <m/>
    <m/>
    <m/>
    <m/>
    <m/>
    <m/>
    <m/>
    <m/>
    <m/>
    <m/>
    <m/>
    <n v="5.4130456544611294E-3"/>
    <n v="31.834927538440706"/>
    <n v="60"/>
    <n v="50"/>
    <n v="40"/>
    <n v="30"/>
    <n v="60"/>
    <n v="1"/>
    <n v="15"/>
    <n v="12.5"/>
    <n v="10"/>
    <n v="3"/>
    <n v="9"/>
    <x v="11"/>
  </r>
  <r>
    <s v="L01-760-2"/>
    <m/>
    <n v="60"/>
    <m/>
    <m/>
    <n v="760"/>
    <s v="L01"/>
    <n v="1"/>
    <n v="0"/>
    <s v="ORANGE CO"/>
    <s v="SOUTH"/>
    <x v="1"/>
    <n v="5037.2014178292702"/>
    <n v="1418932.6942634899"/>
    <n v="32.574313948763702"/>
    <n v="99"/>
    <n v="99"/>
    <n v="0"/>
    <n v="0"/>
    <n v="0"/>
    <n v="0"/>
    <n v="0"/>
    <n v="0"/>
    <n v="0"/>
    <n v="0"/>
    <n v="100"/>
    <n v="0"/>
    <n v="0"/>
    <n v="0"/>
    <n v="2"/>
    <n v="1.1599999999999999"/>
    <n v="4.2500000000000003E-2"/>
    <n v="0.85"/>
    <n v="1.6830000000000001E-2"/>
    <n v="3.6295000000000001E-2"/>
    <n v="2.6562499999999999E-2"/>
    <s v="Direct Connection"/>
    <s v="Flowing"/>
    <s v="Flowing"/>
    <x v="3"/>
    <m/>
    <m/>
    <m/>
    <m/>
    <m/>
    <m/>
    <m/>
    <m/>
    <m/>
    <m/>
    <m/>
    <m/>
    <m/>
    <m/>
    <m/>
    <m/>
    <m/>
    <m/>
    <m/>
    <n v="1.3112998193946533E-2"/>
    <n v="32.248570809276067"/>
    <n v="60"/>
    <n v="50"/>
    <n v="40"/>
    <n v="30"/>
    <n v="60"/>
    <n v="1"/>
    <n v="15"/>
    <n v="12.5"/>
    <n v="10"/>
    <n v="3"/>
    <n v="9"/>
    <x v="11"/>
  </r>
  <r>
    <s v="L01-766-2"/>
    <s v="L01S06"/>
    <m/>
    <n v="10"/>
    <n v="5"/>
    <n v="766"/>
    <s v="L01"/>
    <n v="1"/>
    <n v="1"/>
    <s v="SAN JUAN CAPISTRANO"/>
    <s v="SOUTH"/>
    <x v="1"/>
    <n v="19042.267403750298"/>
    <n v="8483748.4057638701"/>
    <n v="194.76067127702501"/>
    <n v="76"/>
    <n v="66"/>
    <n v="0"/>
    <n v="0"/>
    <n v="0"/>
    <n v="0"/>
    <n v="0"/>
    <n v="0"/>
    <n v="0"/>
    <n v="0"/>
    <n v="0"/>
    <n v="0"/>
    <n v="0"/>
    <n v="100"/>
    <n v="1"/>
    <n v="3.5"/>
    <n v="0.05"/>
    <n v="1"/>
    <n v="0.14874999999999999"/>
    <n v="0.14874999999999999"/>
    <n v="0.14874999999999999"/>
    <m/>
    <m/>
    <m/>
    <x v="0"/>
    <m/>
    <m/>
    <m/>
    <m/>
    <m/>
    <m/>
    <m/>
    <m/>
    <m/>
    <m/>
    <m/>
    <m/>
    <m/>
    <m/>
    <m/>
    <m/>
    <m/>
    <m/>
    <m/>
    <n v="7.343278988610058E-2"/>
    <n v="148.01811017053899"/>
    <n v="70"/>
    <n v="90"/>
    <n v="40"/>
    <n v="70"/>
    <n v="20"/>
    <n v="1"/>
    <n v="17.5"/>
    <n v="22.5"/>
    <n v="10"/>
    <n v="7"/>
    <n v="3"/>
    <x v="65"/>
  </r>
  <r>
    <s v="L01-766-4"/>
    <m/>
    <n v="48"/>
    <m/>
    <m/>
    <n v="766"/>
    <s v="L01"/>
    <n v="1"/>
    <n v="0"/>
    <s v="SAN JUAN CAPISTRANO"/>
    <s v="SOUTH"/>
    <x v="1"/>
    <n v="4036.3410189086999"/>
    <n v="919987.69033703499"/>
    <n v="21.120077065805901"/>
    <n v="100"/>
    <n v="99"/>
    <n v="0"/>
    <n v="0"/>
    <n v="0"/>
    <n v="0"/>
    <n v="0"/>
    <n v="0"/>
    <n v="0"/>
    <n v="0"/>
    <n v="0"/>
    <n v="0"/>
    <n v="0"/>
    <n v="100"/>
    <n v="1"/>
    <n v="0.5"/>
    <n v="0.01"/>
    <n v="3"/>
    <n v="1.2749999999999999E-2"/>
    <n v="1.2749999999999999E-2"/>
    <n v="1.2749999999999999E-2"/>
    <m/>
    <m/>
    <m/>
    <x v="0"/>
    <m/>
    <m/>
    <m/>
    <m/>
    <m/>
    <m/>
    <m/>
    <m/>
    <m/>
    <m/>
    <m/>
    <m/>
    <m/>
    <m/>
    <m/>
    <m/>
    <m/>
    <m/>
    <m/>
    <n v="6.2942391330943351E-3"/>
    <n v="21.120077065805898"/>
    <n v="70"/>
    <n v="50"/>
    <n v="40"/>
    <n v="30"/>
    <n v="20"/>
    <n v="1"/>
    <n v="17.5"/>
    <n v="12.5"/>
    <n v="10"/>
    <n v="3"/>
    <n v="3"/>
    <x v="51"/>
  </r>
  <r>
    <s v="L01-766-7"/>
    <m/>
    <n v="42"/>
    <m/>
    <m/>
    <n v="766"/>
    <s v="L01"/>
    <n v="1"/>
    <n v="0"/>
    <s v="SAN JUAN CAPISTRANO"/>
    <s v="SOUTH"/>
    <x v="1"/>
    <n v="8982.1031755251497"/>
    <n v="2471286.75228329"/>
    <n v="56.733114158089897"/>
    <n v="100"/>
    <n v="10"/>
    <n v="0"/>
    <n v="0"/>
    <n v="0"/>
    <n v="0"/>
    <n v="0"/>
    <n v="0"/>
    <n v="0"/>
    <n v="0"/>
    <n v="0"/>
    <n v="0"/>
    <n v="0"/>
    <n v="100"/>
    <n v="1"/>
    <n v="0.4"/>
    <n v="0.01"/>
    <n v="0.33333333333333298"/>
    <n v="1.1333333333329999E-3"/>
    <n v="1.1333333333329999E-3"/>
    <n v="1.1333333333329999E-3"/>
    <m/>
    <m/>
    <m/>
    <x v="0"/>
    <m/>
    <m/>
    <m/>
    <m/>
    <m/>
    <m/>
    <m/>
    <m/>
    <m/>
    <m/>
    <m/>
    <m/>
    <m/>
    <m/>
    <m/>
    <m/>
    <m/>
    <m/>
    <m/>
    <n v="5.5948792294155413E-4"/>
    <n v="56.73311415808989"/>
    <n v="70"/>
    <n v="30"/>
    <n v="40"/>
    <n v="50"/>
    <n v="20"/>
    <n v="1"/>
    <n v="17.5"/>
    <n v="7.5"/>
    <n v="10"/>
    <n v="5"/>
    <n v="3"/>
    <x v="59"/>
  </r>
  <r>
    <s v="L02-541-9"/>
    <s v="L02P02"/>
    <m/>
    <n v="72"/>
    <n v="90"/>
    <n v="541"/>
    <s v="L02"/>
    <n v="1"/>
    <n v="1"/>
    <s v="SAN JUAN CAPISTRANO"/>
    <s v="SOUTH"/>
    <x v="1"/>
    <n v="17956.3743922006"/>
    <n v="9864939.0597681105"/>
    <n v="226.46854450351799"/>
    <n v="93"/>
    <n v="71"/>
    <n v="0"/>
    <n v="0"/>
    <n v="0"/>
    <n v="0"/>
    <n v="0"/>
    <n v="0"/>
    <n v="0"/>
    <n v="0"/>
    <n v="2"/>
    <n v="0"/>
    <n v="0"/>
    <n v="98"/>
    <n v="2"/>
    <n v="0.95"/>
    <n v="0.04"/>
    <n v="0.3125"/>
    <n v="5.7375000000000004E-3"/>
    <n v="1.59375E-2"/>
    <n v="1.08375E-2"/>
    <m/>
    <m/>
    <m/>
    <x v="0"/>
    <m/>
    <m/>
    <m/>
    <m/>
    <m/>
    <m/>
    <m/>
    <m/>
    <m/>
    <m/>
    <m/>
    <m/>
    <m/>
    <m/>
    <m/>
    <m/>
    <m/>
    <m/>
    <m/>
    <n v="5.3501032631301853E-3"/>
    <n v="210.61574638827173"/>
    <n v="70"/>
    <n v="50"/>
    <n v="40"/>
    <n v="70"/>
    <n v="40"/>
    <n v="1"/>
    <n v="17.5"/>
    <n v="12.5"/>
    <n v="10"/>
    <n v="7"/>
    <n v="6"/>
    <x v="52"/>
  </r>
  <r>
    <s v="L02-622-2"/>
    <s v="L02P32"/>
    <n v="72"/>
    <m/>
    <m/>
    <n v="622"/>
    <s v="L02"/>
    <n v="1"/>
    <n v="0"/>
    <s v="RANCHO SANTA MARGARITA"/>
    <s v="SOUTH"/>
    <x v="1"/>
    <n v="31105.578323764501"/>
    <n v="24896287.277437501"/>
    <n v="571.54189286956296"/>
    <n v="97"/>
    <n v="79"/>
    <n v="0"/>
    <n v="0"/>
    <n v="0"/>
    <n v="0"/>
    <n v="0"/>
    <n v="0"/>
    <n v="0"/>
    <n v="0"/>
    <n v="8"/>
    <n v="92"/>
    <n v="0"/>
    <n v="0"/>
    <n v="1"/>
    <n v="0.7"/>
    <n v="0.03"/>
    <n v="2"/>
    <n v="3.5700000000000003E-2"/>
    <n v="3.5700000000000003E-2"/>
    <n v="3.5700000000000003E-2"/>
    <s v="None - Flow Infiltrates"/>
    <s v="Dry"/>
    <s v="Flowing"/>
    <x v="2"/>
    <m/>
    <m/>
    <m/>
    <m/>
    <m/>
    <m/>
    <m/>
    <m/>
    <m/>
    <m/>
    <m/>
    <m/>
    <m/>
    <m/>
    <m/>
    <m/>
    <m/>
    <m/>
    <m/>
    <n v="1.7623869572664142E-2"/>
    <n v="554.39563608347601"/>
    <n v="100"/>
    <n v="70"/>
    <n v="40"/>
    <n v="100"/>
    <n v="20"/>
    <n v="0"/>
    <n v="0"/>
    <n v="0"/>
    <n v="0"/>
    <n v="0"/>
    <n v="0"/>
    <x v="58"/>
  </r>
  <r>
    <s v="L03-074-1"/>
    <s v="L03B01"/>
    <n v="60"/>
    <m/>
    <m/>
    <n v="74"/>
    <s v="L03"/>
    <n v="1"/>
    <n v="0"/>
    <s v="MISSION VIEJO"/>
    <s v="SOUTH"/>
    <x v="1"/>
    <n v="17753.712598411701"/>
    <n v="7477748.5663118698"/>
    <n v="171.66602081530999"/>
    <n v="98"/>
    <n v="95"/>
    <n v="0"/>
    <n v="0"/>
    <n v="0"/>
    <n v="0"/>
    <n v="0"/>
    <n v="0"/>
    <n v="0"/>
    <n v="100"/>
    <n v="0"/>
    <n v="0"/>
    <n v="0"/>
    <n v="0"/>
    <n v="1"/>
    <n v="0.7"/>
    <n v="0.05"/>
    <n v="1.5"/>
    <n v="4.4624999999999998E-2"/>
    <n v="4.4624999999999998E-2"/>
    <n v="4.4624999999999998E-2"/>
    <m/>
    <m/>
    <m/>
    <x v="0"/>
    <m/>
    <m/>
    <m/>
    <m/>
    <m/>
    <m/>
    <m/>
    <m/>
    <m/>
    <m/>
    <m/>
    <m/>
    <m/>
    <m/>
    <m/>
    <m/>
    <m/>
    <m/>
    <m/>
    <n v="2.2029836965830173E-2"/>
    <n v="168.23270039900382"/>
    <n v="70"/>
    <n v="70"/>
    <n v="40"/>
    <n v="70"/>
    <n v="20"/>
    <n v="1"/>
    <n v="17.5"/>
    <n v="17.5"/>
    <n v="10"/>
    <n v="7"/>
    <n v="3"/>
    <x v="55"/>
  </r>
  <r>
    <s v="L03-142-1"/>
    <s v="L03P24"/>
    <n v="66"/>
    <m/>
    <m/>
    <n v="142"/>
    <s v="L03"/>
    <n v="1"/>
    <n v="0"/>
    <s v="RANCHO SANTA MARGARITA"/>
    <s v="SOUTH"/>
    <x v="1"/>
    <n v="15886.523266402601"/>
    <n v="11135154.397989601"/>
    <n v="255.628767096909"/>
    <n v="19"/>
    <n v="14"/>
    <n v="0"/>
    <n v="0"/>
    <n v="0"/>
    <n v="0"/>
    <n v="0"/>
    <n v="0"/>
    <n v="0"/>
    <n v="0"/>
    <n v="100"/>
    <n v="0"/>
    <n v="0"/>
    <n v="0"/>
    <n v="1"/>
    <n v="0.4"/>
    <n v="5.0000000000000001E-3"/>
    <n v="0.6"/>
    <n v="1.0200000000000001E-3"/>
    <n v="1.0200000000000001E-3"/>
    <n v="1.0200000000000001E-3"/>
    <m/>
    <m/>
    <m/>
    <x v="0"/>
    <m/>
    <m/>
    <m/>
    <m/>
    <m/>
    <m/>
    <m/>
    <m/>
    <m/>
    <m/>
    <m/>
    <m/>
    <m/>
    <m/>
    <m/>
    <m/>
    <m/>
    <m/>
    <m/>
    <n v="5.0353913064754693E-4"/>
    <n v="48.569465748412711"/>
    <n v="70"/>
    <n v="30"/>
    <n v="40"/>
    <n v="30"/>
    <n v="20"/>
    <n v="1"/>
    <n v="17.5"/>
    <n v="7.5"/>
    <n v="10"/>
    <n v="3"/>
    <n v="3"/>
    <x v="0"/>
  </r>
  <r>
    <s v="L03-172-2"/>
    <m/>
    <n v="36"/>
    <m/>
    <m/>
    <n v="172"/>
    <s v="L03"/>
    <n v="1"/>
    <n v="0"/>
    <s v="MISSION VIEJO"/>
    <s v="SOUTH"/>
    <x v="1"/>
    <n v="7479.0008529110301"/>
    <n v="2114445.7166269901"/>
    <n v="48.541145664965903"/>
    <n v="95"/>
    <n v="90"/>
    <n v="0"/>
    <n v="0"/>
    <n v="0"/>
    <n v="0"/>
    <n v="0"/>
    <n v="0"/>
    <n v="0"/>
    <n v="100"/>
    <n v="0"/>
    <n v="0"/>
    <n v="0"/>
    <n v="0"/>
    <n v="1"/>
    <n v="0.5"/>
    <n v="0.03"/>
    <n v="1"/>
    <n v="1.2749999999999999E-2"/>
    <n v="1.2749999999999999E-2"/>
    <n v="1.2749999999999999E-2"/>
    <m/>
    <m/>
    <m/>
    <x v="0"/>
    <m/>
    <m/>
    <m/>
    <m/>
    <m/>
    <m/>
    <m/>
    <m/>
    <m/>
    <m/>
    <m/>
    <m/>
    <m/>
    <m/>
    <m/>
    <m/>
    <m/>
    <m/>
    <m/>
    <n v="6.2942391330943351E-3"/>
    <n v="46.114088381717607"/>
    <n v="70"/>
    <n v="50"/>
    <n v="40"/>
    <n v="30"/>
    <n v="20"/>
    <n v="1"/>
    <n v="17.5"/>
    <n v="12.5"/>
    <n v="10"/>
    <n v="3"/>
    <n v="3"/>
    <x v="51"/>
  </r>
  <r>
    <s v="L03-316-1"/>
    <m/>
    <n v="42"/>
    <m/>
    <m/>
    <n v="316"/>
    <s v="L03"/>
    <n v="1"/>
    <n v="0"/>
    <s v="MISSION VIEJO"/>
    <s v="SOUTH"/>
    <x v="1"/>
    <m/>
    <m/>
    <m/>
    <m/>
    <m/>
    <m/>
    <m/>
    <m/>
    <m/>
    <m/>
    <m/>
    <m/>
    <m/>
    <m/>
    <m/>
    <m/>
    <m/>
    <n v="1"/>
    <n v="1"/>
    <n v="0.04"/>
    <n v="2"/>
    <n v="6.8000000000000005E-2"/>
    <n v="6.8000000000000005E-2"/>
    <n v="6.8000000000000005E-2"/>
    <s v="Direct Connection"/>
    <s v="Flowing"/>
    <s v="Flowing"/>
    <x v="3"/>
    <m/>
    <m/>
    <m/>
    <m/>
    <m/>
    <m/>
    <m/>
    <m/>
    <m/>
    <m/>
    <m/>
    <m/>
    <m/>
    <m/>
    <m/>
    <m/>
    <m/>
    <m/>
    <m/>
    <n v="3.356927537650313E-2"/>
    <n v="0"/>
    <n v="60"/>
    <n v="70"/>
    <n v="40"/>
    <n v="30"/>
    <n v="20"/>
    <n v="1"/>
    <n v="15"/>
    <n v="17.5"/>
    <n v="10"/>
    <n v="3"/>
    <n v="3"/>
    <x v="66"/>
  </r>
  <r>
    <s v="L03-316-2"/>
    <m/>
    <n v="36"/>
    <m/>
    <m/>
    <n v="316"/>
    <s v="L03"/>
    <n v="1"/>
    <n v="0"/>
    <s v="MISSION VIEJO"/>
    <s v="SOUTH"/>
    <x v="1"/>
    <n v="17129.991736281099"/>
    <n v="7217563.0928094201"/>
    <n v="165.69296562175401"/>
    <n v="88"/>
    <n v="57"/>
    <n v="0"/>
    <n v="0"/>
    <n v="0"/>
    <n v="0"/>
    <n v="0"/>
    <n v="0"/>
    <n v="0"/>
    <n v="100"/>
    <n v="0"/>
    <n v="0"/>
    <n v="0"/>
    <n v="0"/>
    <n v="1"/>
    <n v="0.3"/>
    <n v="1E-3"/>
    <n v="1.3333333333333299"/>
    <n v="3.4000000000000002E-4"/>
    <n v="3.4000000000000002E-4"/>
    <n v="3.4000000000000002E-4"/>
    <s v="Direct Connection"/>
    <s v="Flowing"/>
    <s v="Flowing"/>
    <x v="3"/>
    <m/>
    <m/>
    <m/>
    <m/>
    <m/>
    <m/>
    <m/>
    <m/>
    <m/>
    <m/>
    <m/>
    <m/>
    <m/>
    <m/>
    <m/>
    <m/>
    <m/>
    <m/>
    <m/>
    <n v="1.6784637688251563E-4"/>
    <n v="145.80980974714353"/>
    <n v="60"/>
    <n v="30"/>
    <n v="40"/>
    <n v="70"/>
    <n v="20"/>
    <n v="1"/>
    <n v="15"/>
    <n v="7.5"/>
    <n v="10"/>
    <n v="7"/>
    <n v="3"/>
    <x v="67"/>
  </r>
  <r>
    <s v="L03-316-4"/>
    <s v="L03P12"/>
    <n v="36"/>
    <m/>
    <m/>
    <n v="316"/>
    <s v="L03"/>
    <n v="1"/>
    <n v="0"/>
    <s v="MISSION VIEJO"/>
    <s v="SOUTH"/>
    <x v="1"/>
    <n v="8325.2041420229598"/>
    <n v="1921356.2164706399"/>
    <n v="44.1084068721173"/>
    <n v="100"/>
    <n v="66"/>
    <n v="0"/>
    <n v="0"/>
    <n v="0"/>
    <n v="0"/>
    <n v="0"/>
    <n v="0"/>
    <n v="0"/>
    <n v="100"/>
    <n v="0"/>
    <n v="0"/>
    <n v="0"/>
    <n v="0"/>
    <n v="2"/>
    <n v="0.35"/>
    <n v="7.4999999999999997E-3"/>
    <n v="1.0416666666666601"/>
    <n v="1.0624999999999999E-4"/>
    <n v="6.7999999999999996E-3"/>
    <n v="3.453125E-3"/>
    <s v="Direct Connection"/>
    <s v="Flowing"/>
    <s v="Flowing"/>
    <x v="3"/>
    <m/>
    <m/>
    <m/>
    <m/>
    <m/>
    <m/>
    <m/>
    <m/>
    <m/>
    <m/>
    <m/>
    <m/>
    <m/>
    <m/>
    <m/>
    <m/>
    <m/>
    <m/>
    <m/>
    <n v="1.7046897652130493E-3"/>
    <n v="44.1084068721173"/>
    <n v="60"/>
    <n v="30"/>
    <n v="40"/>
    <n v="30"/>
    <n v="60"/>
    <n v="1"/>
    <n v="15"/>
    <n v="7.5"/>
    <n v="10"/>
    <n v="3"/>
    <n v="9"/>
    <x v="57"/>
  </r>
  <r>
    <s v="L03-418-1"/>
    <m/>
    <n v="36"/>
    <n v="3"/>
    <n v="8"/>
    <n v="418"/>
    <s v="L03"/>
    <n v="1"/>
    <n v="0"/>
    <s v="LAGUNA NIGUEL"/>
    <s v="SOUTH"/>
    <x v="1"/>
    <n v="11504.462517390601"/>
    <n v="5388978.4921620702"/>
    <n v="123.714308632475"/>
    <n v="89"/>
    <n v="13"/>
    <n v="0"/>
    <n v="0"/>
    <n v="0"/>
    <n v="0"/>
    <n v="5"/>
    <n v="0"/>
    <n v="0"/>
    <n v="95"/>
    <n v="0"/>
    <n v="0"/>
    <n v="0"/>
    <n v="0"/>
    <n v="2"/>
    <n v="2.25"/>
    <n v="6.0000000000000001E-3"/>
    <n v="1.45714285714285"/>
    <n v="4.4879999999999998E-3"/>
    <n v="3.3514285714286003E-2"/>
    <n v="1.9001142857143001E-2"/>
    <s v="Direct Connection"/>
    <s v="Flowing"/>
    <s v="Flowing"/>
    <x v="3"/>
    <m/>
    <m/>
    <m/>
    <m/>
    <m/>
    <m/>
    <m/>
    <m/>
    <m/>
    <m/>
    <m/>
    <m/>
    <m/>
    <m/>
    <m/>
    <m/>
    <m/>
    <m/>
    <m/>
    <n v="9.3802146623486581E-3"/>
    <n v="110.10573468290275"/>
    <n v="60"/>
    <n v="50"/>
    <n v="40"/>
    <n v="50"/>
    <n v="60"/>
    <n v="1"/>
    <n v="15"/>
    <n v="12.5"/>
    <n v="10"/>
    <n v="5"/>
    <n v="9"/>
    <x v="68"/>
  </r>
  <r>
    <s v="L03-455-1"/>
    <m/>
    <n v="66"/>
    <m/>
    <m/>
    <n v="455"/>
    <s v="L03"/>
    <n v="1"/>
    <n v="0"/>
    <s v="SAN JUAN CAPISTRANO"/>
    <s v="SOUTH"/>
    <x v="1"/>
    <n v="9216.2628644392807"/>
    <n v="3591425.09372397"/>
    <n v="82.448032242400899"/>
    <n v="45"/>
    <n v="0"/>
    <n v="0"/>
    <n v="0"/>
    <n v="0"/>
    <n v="0"/>
    <n v="2"/>
    <n v="0"/>
    <n v="0"/>
    <n v="0"/>
    <n v="0"/>
    <n v="0"/>
    <n v="0"/>
    <n v="98"/>
    <n v="1"/>
    <n v="0.35"/>
    <n v="0.01"/>
    <n v="0.4"/>
    <n v="1.1900000000000001E-3"/>
    <n v="1.1900000000000001E-3"/>
    <n v="1.1900000000000001E-3"/>
    <m/>
    <m/>
    <m/>
    <x v="0"/>
    <m/>
    <m/>
    <m/>
    <m/>
    <m/>
    <m/>
    <m/>
    <m/>
    <m/>
    <m/>
    <m/>
    <m/>
    <m/>
    <m/>
    <m/>
    <m/>
    <m/>
    <m/>
    <m/>
    <n v="5.8746231908880472E-4"/>
    <n v="37.101614509080406"/>
    <n v="70"/>
    <n v="30"/>
    <n v="40"/>
    <n v="30"/>
    <n v="20"/>
    <n v="1"/>
    <n v="17.5"/>
    <n v="7.5"/>
    <n v="10"/>
    <n v="3"/>
    <n v="3"/>
    <x v="0"/>
  </r>
  <r>
    <s v="L03-455-2"/>
    <m/>
    <m/>
    <n v="78"/>
    <n v="36"/>
    <n v="455"/>
    <s v="L03"/>
    <n v="1"/>
    <n v="1"/>
    <s v="SAN JUAN CAPISTRANO"/>
    <s v="SOUTH"/>
    <x v="1"/>
    <m/>
    <m/>
    <m/>
    <m/>
    <m/>
    <m/>
    <m/>
    <m/>
    <m/>
    <m/>
    <m/>
    <m/>
    <m/>
    <m/>
    <m/>
    <m/>
    <m/>
    <n v="1"/>
    <n v="0.38"/>
    <n v="0.01"/>
    <n v="0.75"/>
    <n v="2.4225000000000002E-3"/>
    <n v="2.4225000000000002E-3"/>
    <n v="2.4225000000000002E-3"/>
    <m/>
    <m/>
    <m/>
    <x v="0"/>
    <m/>
    <m/>
    <m/>
    <m/>
    <m/>
    <m/>
    <m/>
    <m/>
    <m/>
    <m/>
    <m/>
    <m/>
    <m/>
    <m/>
    <m/>
    <m/>
    <m/>
    <m/>
    <m/>
    <n v="1.1959054352879239E-3"/>
    <n v="0"/>
    <n v="70"/>
    <n v="30"/>
    <n v="40"/>
    <n v="30"/>
    <n v="20"/>
    <n v="1"/>
    <n v="17.5"/>
    <n v="7.5"/>
    <n v="10"/>
    <n v="3"/>
    <n v="3"/>
    <x v="0"/>
  </r>
  <r>
    <s v="L03-455-5"/>
    <m/>
    <n v="36"/>
    <m/>
    <m/>
    <n v="455"/>
    <s v="L03"/>
    <n v="1"/>
    <n v="0"/>
    <s v="LAGUNA NIGUEL"/>
    <s v="SOUTH"/>
    <x v="1"/>
    <n v="6788.5173593405798"/>
    <n v="1034751.98653713"/>
    <n v="23.754710991463401"/>
    <n v="57"/>
    <n v="2"/>
    <n v="0"/>
    <n v="0"/>
    <n v="0"/>
    <n v="0"/>
    <n v="88"/>
    <n v="0"/>
    <n v="0"/>
    <n v="0"/>
    <n v="0"/>
    <n v="0"/>
    <n v="0"/>
    <n v="12"/>
    <n v="3"/>
    <n v="0.37666666666666698"/>
    <n v="2.3333333333333001E-2"/>
    <n v="1.4"/>
    <n v="2.5500000000000002E-3"/>
    <n v="2.1624000000000001E-2"/>
    <n v="1.1457999999999999E-2"/>
    <s v="Direct Connection"/>
    <s v="Flowing"/>
    <s v="Flowing"/>
    <x v="3"/>
    <m/>
    <m/>
    <m/>
    <m/>
    <m/>
    <m/>
    <m/>
    <m/>
    <m/>
    <m/>
    <m/>
    <m/>
    <m/>
    <m/>
    <m/>
    <m/>
    <m/>
    <m/>
    <m/>
    <n v="5.6564229009407763E-3"/>
    <n v="13.54018526513414"/>
    <n v="60"/>
    <n v="50"/>
    <n v="40"/>
    <n v="30"/>
    <n v="60"/>
    <n v="1"/>
    <n v="15"/>
    <n v="12.5"/>
    <n v="10"/>
    <n v="3"/>
    <n v="9"/>
    <x v="11"/>
  </r>
  <r>
    <s v="L03-455-7"/>
    <m/>
    <n v="36"/>
    <m/>
    <m/>
    <n v="455"/>
    <s v="L03"/>
    <n v="1"/>
    <n v="0"/>
    <s v="LAGUNA NIGUEL"/>
    <s v="SOUTH"/>
    <x v="1"/>
    <n v="8228.7562578796096"/>
    <n v="2797168.4633029299"/>
    <n v="64.214352139165698"/>
    <n v="50"/>
    <n v="40"/>
    <n v="0"/>
    <n v="0"/>
    <n v="0"/>
    <n v="0"/>
    <n v="86"/>
    <n v="0"/>
    <n v="0"/>
    <n v="0"/>
    <n v="0"/>
    <n v="0"/>
    <n v="0"/>
    <n v="14"/>
    <n v="3"/>
    <n v="0.51666666666666705"/>
    <n v="1.3333333333332999E-2"/>
    <n v="3.6666666666666599"/>
    <n v="1.4024999999999999E-2"/>
    <n v="2.7199999999999998E-2"/>
    <n v="2.0541666666666999E-2"/>
    <s v="Direct Connection"/>
    <s v="Flowing"/>
    <s v="Flowing"/>
    <x v="3"/>
    <m/>
    <m/>
    <m/>
    <m/>
    <m/>
    <m/>
    <m/>
    <m/>
    <m/>
    <m/>
    <m/>
    <m/>
    <m/>
    <m/>
    <m/>
    <m/>
    <m/>
    <m/>
    <m/>
    <n v="1.0140718603318817E-2"/>
    <n v="32.107176069582849"/>
    <n v="60"/>
    <n v="50"/>
    <n v="40"/>
    <n v="30"/>
    <n v="60"/>
    <n v="1"/>
    <n v="15"/>
    <n v="12.5"/>
    <n v="10"/>
    <n v="3"/>
    <n v="9"/>
    <x v="11"/>
  </r>
  <r>
    <s v="L03-693-1"/>
    <s v="L03P11"/>
    <n v="60"/>
    <m/>
    <m/>
    <n v="693"/>
    <s v="L03"/>
    <n v="1"/>
    <n v="0"/>
    <s v="MISSION VIEJO"/>
    <s v="SOUTH"/>
    <x v="1"/>
    <n v="22521.0708378569"/>
    <n v="12188577.304100201"/>
    <n v="279.812104758516"/>
    <n v="99"/>
    <n v="89"/>
    <n v="0"/>
    <n v="0"/>
    <n v="0"/>
    <n v="0"/>
    <n v="0"/>
    <n v="0"/>
    <n v="0"/>
    <n v="100"/>
    <n v="0"/>
    <n v="0"/>
    <n v="0"/>
    <n v="0"/>
    <n v="1"/>
    <n v="0.65"/>
    <n v="0.03"/>
    <n v="4.6153846153846096"/>
    <n v="7.6499999999999999E-2"/>
    <n v="7.6499999999999999E-2"/>
    <n v="7.6499999999999999E-2"/>
    <s v="Direct Connection"/>
    <s v="Flowing"/>
    <s v="Flowing"/>
    <x v="3"/>
    <m/>
    <m/>
    <m/>
    <m/>
    <m/>
    <m/>
    <m/>
    <m/>
    <m/>
    <m/>
    <m/>
    <m/>
    <m/>
    <m/>
    <m/>
    <m/>
    <m/>
    <m/>
    <m/>
    <n v="3.7765434798566012E-2"/>
    <n v="277.01398371093086"/>
    <n v="60"/>
    <n v="70"/>
    <n v="40"/>
    <n v="90"/>
    <n v="20"/>
    <n v="1"/>
    <n v="15"/>
    <n v="17.5"/>
    <n v="10"/>
    <n v="9"/>
    <n v="3"/>
    <x v="10"/>
  </r>
  <r>
    <s v="L03-708-1"/>
    <m/>
    <n v="36"/>
    <m/>
    <m/>
    <n v="708"/>
    <s v="L03"/>
    <n v="1"/>
    <n v="0"/>
    <s v="LAGUNA NIGUEL"/>
    <s v="SOUTH"/>
    <x v="1"/>
    <n v="15022.148308321501"/>
    <n v="4747546.2285604104"/>
    <n v="108.98900417237"/>
    <n v="47"/>
    <n v="17"/>
    <n v="0"/>
    <n v="0"/>
    <n v="0"/>
    <n v="0"/>
    <n v="100"/>
    <n v="0"/>
    <n v="0"/>
    <n v="0"/>
    <n v="0"/>
    <n v="0"/>
    <n v="0"/>
    <n v="0"/>
    <n v="2"/>
    <n v="1.2250000000000001"/>
    <n v="6.5000000000000002E-2"/>
    <n v="0.35416666666666702"/>
    <n v="1.0625000000000001E-2"/>
    <n v="4.335E-2"/>
    <n v="2.6987500000000001E-2"/>
    <m/>
    <m/>
    <m/>
    <x v="0"/>
    <m/>
    <m/>
    <m/>
    <m/>
    <m/>
    <m/>
    <m/>
    <m/>
    <m/>
    <m/>
    <m/>
    <m/>
    <m/>
    <m/>
    <m/>
    <m/>
    <m/>
    <m/>
    <m/>
    <n v="1.3322806165049678E-2"/>
    <n v="51.224831961013898"/>
    <n v="70"/>
    <n v="50"/>
    <n v="40"/>
    <n v="50"/>
    <n v="40"/>
    <n v="1"/>
    <n v="17.5"/>
    <n v="12.5"/>
    <n v="10"/>
    <n v="5"/>
    <n v="6"/>
    <x v="62"/>
  </r>
  <r>
    <s v="L03-708-9"/>
    <m/>
    <n v="48"/>
    <m/>
    <m/>
    <n v="708"/>
    <s v="L03"/>
    <n v="1"/>
    <n v="0"/>
    <s v="LAGUNA NIGUEL"/>
    <s v="SOUTH"/>
    <x v="1"/>
    <m/>
    <m/>
    <m/>
    <m/>
    <m/>
    <m/>
    <m/>
    <m/>
    <m/>
    <m/>
    <m/>
    <m/>
    <m/>
    <m/>
    <m/>
    <m/>
    <m/>
    <n v="1"/>
    <n v="1.1499999999999999"/>
    <n v="0.04"/>
    <n v="1.2"/>
    <n v="4.6920000000000003E-2"/>
    <n v="4.6920000000000003E-2"/>
    <n v="4.6920000000000003E-2"/>
    <m/>
    <m/>
    <m/>
    <x v="0"/>
    <m/>
    <m/>
    <m/>
    <m/>
    <m/>
    <m/>
    <m/>
    <m/>
    <m/>
    <m/>
    <m/>
    <m/>
    <m/>
    <m/>
    <m/>
    <m/>
    <m/>
    <m/>
    <m/>
    <n v="2.3162800009787158E-2"/>
    <n v="0"/>
    <n v="70"/>
    <n v="70"/>
    <n v="40"/>
    <n v="30"/>
    <n v="20"/>
    <n v="1"/>
    <n v="17.5"/>
    <n v="17.5"/>
    <n v="10"/>
    <n v="3"/>
    <n v="3"/>
    <x v="62"/>
  </r>
  <r>
    <s v="L04-301-1"/>
    <s v="L04P08"/>
    <n v="48"/>
    <m/>
    <m/>
    <n v="301"/>
    <s v="L04"/>
    <n v="1"/>
    <n v="0"/>
    <s v="MISSION VIEJO"/>
    <s v="SOUTH"/>
    <x v="1"/>
    <n v="16978.040568464799"/>
    <n v="8356353.56932614"/>
    <n v="191.83607914214099"/>
    <n v="97"/>
    <n v="70"/>
    <n v="0"/>
    <n v="0"/>
    <n v="0"/>
    <n v="0"/>
    <n v="0"/>
    <n v="0"/>
    <n v="0"/>
    <n v="100"/>
    <n v="0"/>
    <n v="0"/>
    <n v="0"/>
    <n v="0"/>
    <n v="2"/>
    <n v="0.55000000000000004"/>
    <n v="0.01"/>
    <n v="0.78901734104046195"/>
    <n v="2.5500000000000002E-3"/>
    <n v="3.93063583815E-3"/>
    <n v="3.2403179190750001E-3"/>
    <m/>
    <m/>
    <m/>
    <x v="0"/>
    <m/>
    <m/>
    <m/>
    <m/>
    <m/>
    <m/>
    <m/>
    <m/>
    <m/>
    <m/>
    <m/>
    <m/>
    <m/>
    <m/>
    <m/>
    <m/>
    <m/>
    <m/>
    <m/>
    <n v="1.5996341843065624E-3"/>
    <n v="186.08099676787674"/>
    <n v="70"/>
    <n v="30"/>
    <n v="40"/>
    <n v="70"/>
    <n v="40"/>
    <n v="1"/>
    <n v="17.5"/>
    <n v="7.5"/>
    <n v="10"/>
    <n v="7"/>
    <n v="6"/>
    <x v="50"/>
  </r>
  <r>
    <s v="L05-049-1"/>
    <m/>
    <n v="108"/>
    <m/>
    <m/>
    <n v="49"/>
    <s v="L05"/>
    <n v="1"/>
    <n v="0"/>
    <s v="ORANGE CO"/>
    <s v="SOUTH"/>
    <x v="1"/>
    <n v="31850.440001343199"/>
    <n v="22541068.0909831"/>
    <n v="517.47333168418402"/>
    <n v="65"/>
    <n v="59"/>
    <n v="0"/>
    <n v="0"/>
    <n v="0"/>
    <n v="0"/>
    <n v="0"/>
    <n v="0"/>
    <n v="0"/>
    <n v="0"/>
    <n v="100"/>
    <n v="0"/>
    <n v="0"/>
    <n v="0"/>
    <n v="2"/>
    <n v="1.1000000000000001"/>
    <n v="4.4999999999999998E-2"/>
    <n v="1.35"/>
    <n v="3.3660000000000002E-2"/>
    <n v="8.4150000000000003E-2"/>
    <n v="5.8904999999999999E-2"/>
    <m/>
    <m/>
    <m/>
    <x v="0"/>
    <m/>
    <m/>
    <m/>
    <m/>
    <m/>
    <m/>
    <m/>
    <m/>
    <m/>
    <m/>
    <m/>
    <m/>
    <m/>
    <m/>
    <m/>
    <m/>
    <m/>
    <m/>
    <m/>
    <n v="2.9079384794895833E-2"/>
    <n v="336.35766559471961"/>
    <n v="70"/>
    <n v="70"/>
    <n v="40"/>
    <n v="90"/>
    <n v="40"/>
    <n v="1"/>
    <n v="17.5"/>
    <n v="17.5"/>
    <n v="10"/>
    <n v="9"/>
    <n v="6"/>
    <x v="65"/>
  </r>
  <r>
    <s v="L05-489-3"/>
    <m/>
    <n v="24"/>
    <m/>
    <m/>
    <n v="489"/>
    <s v="L05"/>
    <n v="1"/>
    <n v="0"/>
    <s v="ORANGE CO"/>
    <s v="SOUTH"/>
    <x v="1"/>
    <n v="54145.237253510801"/>
    <n v="90092133.167472005"/>
    <n v="2068.2372335034102"/>
    <n v="48"/>
    <n v="42"/>
    <n v="0"/>
    <n v="0"/>
    <n v="0"/>
    <n v="0"/>
    <n v="0"/>
    <n v="0"/>
    <n v="0"/>
    <n v="0"/>
    <n v="100"/>
    <n v="0"/>
    <n v="0"/>
    <n v="0"/>
    <n v="1"/>
    <n v="1.8"/>
    <n v="0.14000000000000001"/>
    <n v="2"/>
    <n v="0.4284"/>
    <n v="0.4284"/>
    <n v="0.4284"/>
    <m/>
    <m/>
    <m/>
    <x v="0"/>
    <m/>
    <m/>
    <m/>
    <m/>
    <m/>
    <m/>
    <m/>
    <m/>
    <m/>
    <m/>
    <m/>
    <m/>
    <m/>
    <m/>
    <m/>
    <m/>
    <m/>
    <m/>
    <m/>
    <n v="0.21148643487196969"/>
    <n v="992.75387208163681"/>
    <n v="70"/>
    <n v="100"/>
    <n v="40"/>
    <n v="100"/>
    <n v="20"/>
    <n v="1"/>
    <n v="17.5"/>
    <n v="25"/>
    <n v="10"/>
    <n v="10"/>
    <n v="3"/>
    <x v="61"/>
  </r>
  <r>
    <s v="L05-489-7"/>
    <m/>
    <n v="60"/>
    <m/>
    <m/>
    <n v="489"/>
    <s v="L05"/>
    <n v="1"/>
    <n v="0"/>
    <s v="ORANGE CO"/>
    <s v="SOUTH"/>
    <x v="1"/>
    <n v="11633.1071232716"/>
    <n v="5586674.0195679897"/>
    <n v="128.25278759065401"/>
    <n v="13"/>
    <n v="0"/>
    <n v="0"/>
    <n v="0"/>
    <n v="0"/>
    <n v="0"/>
    <n v="0"/>
    <n v="0"/>
    <n v="0"/>
    <n v="0"/>
    <n v="100"/>
    <n v="0"/>
    <n v="0"/>
    <n v="0"/>
    <n v="2"/>
    <n v="1.01"/>
    <n v="0.19500000000000001"/>
    <n v="0.94103773584905703"/>
    <n v="6.9997500000000004E-2"/>
    <n v="0.23094339622641499"/>
    <n v="0.15047044811320801"/>
    <m/>
    <m/>
    <m/>
    <x v="0"/>
    <m/>
    <m/>
    <m/>
    <m/>
    <m/>
    <m/>
    <m/>
    <m/>
    <m/>
    <m/>
    <m/>
    <m/>
    <m/>
    <m/>
    <m/>
    <m/>
    <m/>
    <m/>
    <m/>
    <n v="7.4282116304972126E-2"/>
    <n v="16.67286238678502"/>
    <n v="70"/>
    <n v="90"/>
    <n v="40"/>
    <n v="30"/>
    <n v="40"/>
    <n v="1"/>
    <n v="17.5"/>
    <n v="22.5"/>
    <n v="10"/>
    <n v="3"/>
    <n v="6"/>
    <x v="69"/>
  </r>
  <r>
    <s v="M02-032-1"/>
    <m/>
    <n v="120"/>
    <m/>
    <m/>
    <n v="32"/>
    <s v="M02"/>
    <n v="1"/>
    <n v="0"/>
    <s v="SAN CLEMENTE"/>
    <s v="SOUTH"/>
    <x v="3"/>
    <n v="14408.671484385301"/>
    <n v="5710857.0703987796"/>
    <n v="131.10364704384099"/>
    <n v="10"/>
    <n v="0"/>
    <n v="0"/>
    <n v="0"/>
    <n v="0"/>
    <n v="0"/>
    <n v="0"/>
    <n v="0"/>
    <n v="0"/>
    <n v="0"/>
    <n v="0"/>
    <n v="0"/>
    <n v="100"/>
    <n v="0"/>
    <n v="2"/>
    <n v="1.4"/>
    <n v="0.48"/>
    <n v="1.69767441860465"/>
    <n v="9.2511627906977006E-2"/>
    <n v="2.2949999999999999"/>
    <n v="1.1937558139534801"/>
    <s v="Direct Connection"/>
    <s v="Dry"/>
    <s v="Flowing"/>
    <x v="2"/>
    <m/>
    <m/>
    <m/>
    <m/>
    <m/>
    <m/>
    <m/>
    <m/>
    <m/>
    <m/>
    <m/>
    <m/>
    <m/>
    <m/>
    <m/>
    <m/>
    <m/>
    <m/>
    <m/>
    <n v="0.58931643604273531"/>
    <n v="13.110364704384098"/>
    <n v="100"/>
    <n v="100"/>
    <n v="40"/>
    <n v="30"/>
    <n v="60"/>
    <n v="1"/>
    <n v="25"/>
    <n v="25"/>
    <n v="10"/>
    <n v="3"/>
    <n v="9"/>
    <x v="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6">
  <r>
    <s v="K01-12155-1"/>
    <m/>
    <n v="36"/>
    <m/>
    <m/>
    <n v="12155"/>
    <s v="K01"/>
    <n v="1"/>
    <n v="0"/>
    <s v="LAGUNA NIGUEL"/>
    <s v="SOUTH"/>
    <s v="Dana Point"/>
    <n v="8176.1841665931097"/>
    <n v="2777293.59180986"/>
    <n v="63.7580864499445"/>
    <n v="44"/>
    <n v="44"/>
    <n v="0"/>
    <n v="0"/>
    <n v="0"/>
    <n v="0"/>
    <n v="100"/>
    <n v="0"/>
    <n v="0"/>
    <n v="0"/>
    <n v="0"/>
    <n v="0"/>
    <n v="0"/>
    <n v="0"/>
    <n v="1"/>
    <n v="0.5"/>
    <n v="0.01"/>
    <n v="0.133333333333333"/>
    <n v="5.6666666666699999E-4"/>
    <n v="5.6666666666699999E-4"/>
    <n v="5.6666666666699999E-4"/>
    <x v="0"/>
    <m/>
    <m/>
    <x v="0"/>
    <s v="Aug- 3 - Aug-17, 13 days"/>
    <n v="2.7935999999999998E-4"/>
    <n v="0"/>
    <n v="1"/>
    <n v="0"/>
    <n v="8.9999999999999993E-3"/>
    <n v="2E-3"/>
    <n v="0"/>
    <n v="0"/>
    <m/>
    <m/>
    <n v="2.8035100000000003E-4"/>
    <n v="8.9999999999999993E-3"/>
    <n v="0"/>
    <n v="0"/>
    <n v="2.7691E-4"/>
    <n v="6.0000000000000001E-3"/>
    <n v="0"/>
    <n v="0"/>
  </r>
  <r>
    <s v="L02-641-1"/>
    <s v="Left pipe"/>
    <n v="96"/>
    <m/>
    <m/>
    <n v="641"/>
    <s v="L02"/>
    <n v="1"/>
    <n v="0"/>
    <s v="RANCHO SANTA MARGARITA"/>
    <s v="SOUTH"/>
    <s v="San Juan Creek"/>
    <n v="43302.910212702802"/>
    <n v="40351462.477653503"/>
    <n v="926.34500026169906"/>
    <n v="84"/>
    <n v="63"/>
    <n v="0"/>
    <n v="0"/>
    <n v="0"/>
    <n v="0"/>
    <n v="0"/>
    <n v="0"/>
    <n v="0"/>
    <n v="0"/>
    <n v="1"/>
    <n v="99"/>
    <n v="0"/>
    <n v="0"/>
    <n v="1"/>
    <n v="0.45"/>
    <n v="0.01"/>
    <n v="1.2"/>
    <n v="4.5900000000000003E-3"/>
    <n v="4.5900000000000003E-3"/>
    <n v="4.5900000000000003E-3"/>
    <x v="1"/>
    <m/>
    <s v="Flowing"/>
    <x v="1"/>
    <s v="Jul- 1 - Jul-14, 12 days"/>
    <n v="6.4444439999999997E-3"/>
    <n v="0"/>
    <n v="1"/>
    <n v="0"/>
    <n v="0.32700000000000001"/>
    <n v="0.13950000000000001"/>
    <n v="0"/>
    <n v="0"/>
    <m/>
    <m/>
    <n v="6.3659900000000002E-3"/>
    <n v="0.312"/>
    <n v="0"/>
    <n v="0"/>
    <n v="6.6154509999999996E-3"/>
    <n v="0.32700000000000001"/>
    <n v="0"/>
    <n v="0"/>
  </r>
  <r>
    <s v="J01-9273-1"/>
    <s v="LWJ01ASVM"/>
    <n v="36"/>
    <m/>
    <m/>
    <n v="9273"/>
    <s v="J01"/>
    <n v="1"/>
    <n v="0"/>
    <s v="LAGUNA WOODS"/>
    <s v="SOUTH"/>
    <s v="Aliso"/>
    <n v="5576.0840780041299"/>
    <n v="1336828.50869986"/>
    <n v="30.689455330825201"/>
    <n v="99"/>
    <n v="98"/>
    <n v="0"/>
    <n v="0"/>
    <n v="0"/>
    <n v="5"/>
    <n v="0"/>
    <n v="95"/>
    <n v="0"/>
    <n v="0"/>
    <n v="0"/>
    <n v="0"/>
    <n v="0"/>
    <n v="0"/>
    <m/>
    <m/>
    <m/>
    <m/>
    <m/>
    <m/>
    <m/>
    <x v="0"/>
    <m/>
    <m/>
    <x v="0"/>
    <s v="Apr- 5 - May- 9, 33 days"/>
    <n v="9.5900570000000008E-3"/>
    <n v="4.0000000000000001E-3"/>
    <n v="0.58290133399999999"/>
    <n v="0"/>
    <n v="1.41"/>
    <n v="1.2999999999999999E-2"/>
    <n v="1E-3"/>
    <n v="4.0000000000000001E-3"/>
    <n v="3.25"/>
    <n v="0.25"/>
    <n v="1.0012104000000001E-2"/>
    <n v="1.41"/>
    <n v="5.0000000000000001E-3"/>
    <n v="0"/>
    <n v="8.2305050000000008E-3"/>
    <n v="0.154"/>
    <n v="4.0000000000000001E-3"/>
    <n v="0"/>
  </r>
  <r>
    <s v="L02-641-2"/>
    <s v="Right pipe"/>
    <n v="96"/>
    <m/>
    <m/>
    <n v="641"/>
    <s v="L02"/>
    <n v="1"/>
    <n v="0"/>
    <s v="RANCHO SANTA MARGARITA"/>
    <s v="SOUTH"/>
    <s v="San Juan Creek"/>
    <n v="43302.910212702802"/>
    <n v="40351462.477653503"/>
    <n v="926.34500026169906"/>
    <n v="84"/>
    <n v="63"/>
    <n v="0"/>
    <n v="0"/>
    <n v="0"/>
    <n v="0"/>
    <n v="0"/>
    <n v="0"/>
    <n v="0"/>
    <n v="0"/>
    <n v="1"/>
    <n v="99"/>
    <n v="0"/>
    <n v="0"/>
    <n v="2"/>
    <n v="0.9"/>
    <n v="3.5000000000000003E-2"/>
    <n v="1.5"/>
    <n v="2.6775E-2"/>
    <n v="5.6099999999999997E-2"/>
    <n v="4.1437500000000002E-2"/>
    <x v="1"/>
    <m/>
    <s v="Flowing"/>
    <x v="2"/>
    <s v="Jul- 1 - Jul- 7, 6 days"/>
    <n v="1.8195313000000001E-2"/>
    <n v="4.0000000000000001E-3"/>
    <n v="0.78016315999999997"/>
    <n v="0"/>
    <n v="0.19600000000000001"/>
    <n v="0.151"/>
    <n v="0"/>
    <n v="0"/>
    <n v="37.75"/>
    <n v="0"/>
    <n v="1.6841282999999999E-2"/>
    <n v="0.16200000000000001"/>
    <n v="4.0000000000000001E-3"/>
    <n v="0"/>
    <n v="2.1053819000000001E-2"/>
    <n v="0.19600000000000001"/>
    <n v="5.0000000000000001E-3"/>
    <n v="0"/>
  </r>
  <r>
    <s v="L03-708-11"/>
    <s v="L03P05"/>
    <n v="60"/>
    <m/>
    <m/>
    <n v="708"/>
    <s v="L03"/>
    <n v="1"/>
    <n v="0"/>
    <s v="LAGUNA NIGUEL"/>
    <s v="SOUTH"/>
    <s v="San Juan Creek"/>
    <n v="17489.2002552429"/>
    <n v="7479567.9569291798"/>
    <n v="171.70778840682701"/>
    <n v="71"/>
    <n v="70"/>
    <n v="0"/>
    <n v="0"/>
    <n v="0"/>
    <n v="99"/>
    <n v="1"/>
    <n v="0"/>
    <n v="0"/>
    <n v="0"/>
    <n v="0"/>
    <n v="0"/>
    <n v="0"/>
    <n v="0"/>
    <n v="2"/>
    <n v="0.92500000000000004"/>
    <n v="0.06"/>
    <n v="1.75"/>
    <n v="3.8249999999999999E-2"/>
    <n v="0.14960000000000001"/>
    <n v="9.3924999999999995E-2"/>
    <x v="0"/>
    <m/>
    <m/>
    <x v="0"/>
    <s v="Apr- 7 - May- 4, 26 days"/>
    <n v="6.6242389999999996E-3"/>
    <n v="4.0000000000000001E-3"/>
    <n v="0.39615702899999999"/>
    <n v="0"/>
    <n v="0.10299999999999999"/>
    <n v="0.03"/>
    <n v="0"/>
    <n v="4.0000000000000001E-3"/>
    <n v="7.5"/>
    <n v="0"/>
    <n v="6.4652030000000001E-3"/>
    <n v="0.10199999999999999"/>
    <n v="4.0000000000000001E-3"/>
    <n v="0"/>
    <n v="7.0655170000000003E-3"/>
    <n v="0.10299999999999999"/>
    <n v="4.0000000000000001E-3"/>
    <n v="0"/>
  </r>
  <r>
    <s v="M02-015-1"/>
    <m/>
    <n v="36"/>
    <m/>
    <m/>
    <n v="15"/>
    <s v="M02"/>
    <n v="1"/>
    <n v="0"/>
    <s v="SAN CLEMENTE"/>
    <s v="SOUTH"/>
    <s v="San Clemente"/>
    <n v="8349.5871079938897"/>
    <n v="2870071.5464682099"/>
    <n v="65.887981852864797"/>
    <n v="9"/>
    <n v="9"/>
    <n v="0"/>
    <n v="0"/>
    <n v="0"/>
    <n v="0"/>
    <n v="0"/>
    <n v="0"/>
    <n v="0"/>
    <n v="0"/>
    <n v="0"/>
    <n v="0"/>
    <n v="100"/>
    <n v="0"/>
    <n v="1"/>
    <n v="0.5"/>
    <n v="0.04"/>
    <n v="2.60869565217391"/>
    <n v="4.4347826086956997E-2"/>
    <n v="4.4347826086956997E-2"/>
    <n v="4.4347826086956997E-2"/>
    <x v="1"/>
    <m/>
    <s v="Flowing"/>
    <x v="2"/>
    <s v="Jul-29 - Aug-15, 16 days"/>
    <n v="1.3269372999999999E-2"/>
    <n v="5.0000000000000001E-3"/>
    <n v="0.62319243599999996"/>
    <n v="0"/>
    <n v="0.16700000000000001"/>
    <n v="8.7499999999999994E-2"/>
    <n v="0"/>
    <n v="0"/>
    <n v="17.5"/>
    <n v="0"/>
    <n v="1.401619E-2"/>
    <n v="0.16700000000000001"/>
    <n v="5.0000000000000001E-3"/>
    <n v="0"/>
    <n v="1.1907986000000001E-2"/>
    <n v="0.156"/>
    <n v="5.0000000000000001E-3"/>
    <n v="0"/>
  </r>
  <r>
    <s v="J01-9046-2"/>
    <s v="J01@Normandale"/>
    <n v="42"/>
    <m/>
    <m/>
    <n v="9046"/>
    <s v="J01"/>
    <n v="1"/>
    <n v="0"/>
    <s v="LAKE FOREST"/>
    <s v="SOUTH"/>
    <s v="Aliso"/>
    <n v="6209.1484323688701"/>
    <n v="2019599.9272104499"/>
    <n v="46.3637791600827"/>
    <n v="69"/>
    <n v="69"/>
    <n v="0"/>
    <n v="0"/>
    <n v="0"/>
    <n v="0"/>
    <n v="0"/>
    <n v="0"/>
    <n v="99"/>
    <n v="1"/>
    <n v="0"/>
    <n v="0"/>
    <n v="0"/>
    <n v="0"/>
    <m/>
    <m/>
    <m/>
    <m/>
    <m/>
    <m/>
    <m/>
    <x v="0"/>
    <m/>
    <m/>
    <x v="0"/>
    <s v="Apr- 5 - May- 9, 33 days"/>
    <n v="1.6189631999999999E-2"/>
    <n v="6.0000000000000001E-3"/>
    <n v="0.62939243300000003"/>
    <n v="0"/>
    <n v="0.22500000000000001"/>
    <n v="0.02"/>
    <n v="2E-3"/>
    <n v="4.0000000000000001E-3"/>
    <n v="3.3333333330000001"/>
    <n v="0.33333333300000001"/>
    <n v="1.8920874000000001E-2"/>
    <n v="0.22500000000000001"/>
    <n v="6.0000000000000001E-3"/>
    <n v="0"/>
    <n v="7.4415139999999998E-3"/>
    <n v="0.11899999999999999"/>
    <n v="6.0000000000000001E-3"/>
    <n v="0"/>
  </r>
  <r>
    <s v="J01-9082-4"/>
    <m/>
    <n v="42"/>
    <m/>
    <m/>
    <n v="9082"/>
    <s v="J01"/>
    <n v="1"/>
    <n v="0"/>
    <s v="ALISO VIEJO"/>
    <s v="SOUTH"/>
    <s v="Aliso"/>
    <n v="10619.0299810373"/>
    <n v="5430205.8138061604"/>
    <n v="124.660760655133"/>
    <n v="84"/>
    <n v="82"/>
    <n v="98"/>
    <n v="0"/>
    <n v="0"/>
    <n v="0"/>
    <n v="0"/>
    <n v="0"/>
    <n v="0"/>
    <n v="0"/>
    <n v="2"/>
    <n v="0"/>
    <n v="0"/>
    <n v="0"/>
    <n v="1"/>
    <n v="0.7"/>
    <n v="0.06"/>
    <n v="1"/>
    <n v="3.5700000000000003E-2"/>
    <n v="3.5700000000000003E-2"/>
    <n v="3.5700000000000003E-2"/>
    <x v="0"/>
    <m/>
    <m/>
    <x v="0"/>
    <s v="Jun- 9 - Jun-24, 14 days"/>
    <n v="8.4742389999999997E-3"/>
    <n v="7.0000000000000001E-3"/>
    <n v="0.17396714099999999"/>
    <n v="0"/>
    <n v="5.5E-2"/>
    <n v="2.6499999999999999E-2"/>
    <n v="1.5E-3"/>
    <n v="7.0000000000000001E-3"/>
    <n v="3.7857142860000002"/>
    <n v="0.21428571399999999"/>
    <n v="8.6372059999999997E-3"/>
    <n v="5.5E-2"/>
    <n v="7.0000000000000001E-3"/>
    <n v="0"/>
    <n v="8.0468750000000002E-3"/>
    <n v="4.1000000000000002E-2"/>
    <n v="7.0000000000000001E-3"/>
    <n v="0"/>
  </r>
  <r>
    <s v="J01-9224-1"/>
    <s v="J01P24"/>
    <n v="54"/>
    <m/>
    <m/>
    <n v="9224"/>
    <s v="J01"/>
    <n v="1"/>
    <n v="0"/>
    <s v="LAGUNA NIGUEL"/>
    <s v="SOUTH"/>
    <s v="Aliso"/>
    <n v="14688.682923648201"/>
    <n v="9690643.8780673593"/>
    <n v="222.46726523817301"/>
    <n v="98"/>
    <n v="0"/>
    <n v="2"/>
    <n v="0"/>
    <n v="0"/>
    <n v="0"/>
    <n v="98"/>
    <n v="0"/>
    <n v="0"/>
    <n v="0"/>
    <n v="0"/>
    <n v="0"/>
    <n v="0"/>
    <n v="0"/>
    <n v="3"/>
    <n v="1.06666666666666"/>
    <n v="0.06"/>
    <n v="0.39285714285714302"/>
    <n v="1.7212499999999999E-2"/>
    <n v="2.8049999999999999E-2"/>
    <n v="2.1462499999999999E-2"/>
    <x v="1"/>
    <s v="Flowing"/>
    <s v="Flowing"/>
    <x v="3"/>
    <s v="Jul-20 - Aug- 3, 13 days"/>
    <n v="7.7319370000000004E-3"/>
    <n v="7.0000000000000001E-3"/>
    <n v="9.4664138999999994E-2"/>
    <n v="2E-3"/>
    <n v="1.7999999999999999E-2"/>
    <n v="1.4E-2"/>
    <n v="5.0000000000000001E-3"/>
    <n v="6.0000000000000001E-3"/>
    <n v="2"/>
    <n v="0.71428571399999996"/>
    <n v="7.7908550000000002E-3"/>
    <n v="1.7999999999999999E-2"/>
    <n v="7.0000000000000001E-3"/>
    <n v="2E-3"/>
    <n v="7.5954860000000003E-3"/>
    <n v="1.6E-2"/>
    <n v="7.0000000000000001E-3"/>
    <n v="4.0000000000000001E-3"/>
  </r>
  <r>
    <s v="K01-12058-1"/>
    <s v="K01P08"/>
    <n v="72"/>
    <m/>
    <m/>
    <n v="12058"/>
    <s v="K01"/>
    <n v="1"/>
    <n v="0"/>
    <s v="LAGUNA NIGUEL"/>
    <s v="SOUTH"/>
    <s v="Dana Point"/>
    <n v="18023.188275010001"/>
    <n v="14353905.304059399"/>
    <n v="329.52135055845798"/>
    <n v="68"/>
    <n v="64"/>
    <n v="0"/>
    <n v="0"/>
    <n v="0"/>
    <n v="0"/>
    <n v="98"/>
    <n v="0"/>
    <n v="0"/>
    <n v="0"/>
    <n v="0"/>
    <n v="0"/>
    <n v="0"/>
    <n v="2"/>
    <n v="3"/>
    <n v="0.8"/>
    <n v="4.6666666666667002E-2"/>
    <n v="2.6470588235294099"/>
    <n v="5.0999999999999997E-2"/>
    <n v="0.125"/>
    <n v="8.5866666666666994E-2"/>
    <x v="1"/>
    <s v="Flowing"/>
    <s v="Flowing"/>
    <x v="1"/>
    <s v="Jun-15 - Jun-29, 14 days"/>
    <n v="1.080297E-2"/>
    <n v="8.0000000000000002E-3"/>
    <n v="0.25946292700000001"/>
    <n v="0"/>
    <n v="9.7000000000000003E-2"/>
    <n v="4.2000000000000003E-2"/>
    <n v="0"/>
    <n v="0"/>
    <n v="5.25"/>
    <n v="0"/>
    <n v="1.1493767E-2"/>
    <n v="9.7000000000000003E-2"/>
    <n v="8.0000000000000002E-3"/>
    <n v="0"/>
    <n v="9.0711809999999993E-3"/>
    <n v="9.4E-2"/>
    <n v="8.0000000000000002E-3"/>
    <n v="0"/>
  </r>
  <r>
    <s v="J03-9215-3"/>
    <m/>
    <n v="54"/>
    <m/>
    <m/>
    <n v="9215"/>
    <s v="J03"/>
    <n v="1"/>
    <n v="0"/>
    <s v="LAGUNA NIGUEL"/>
    <s v="SOUTH"/>
    <s v="Aliso"/>
    <n v="12703.1876113652"/>
    <n v="6764304.9039294403"/>
    <n v="155.28755696205201"/>
    <n v="91"/>
    <n v="89"/>
    <n v="0"/>
    <n v="0"/>
    <n v="0"/>
    <n v="0"/>
    <n v="100"/>
    <n v="0"/>
    <n v="0"/>
    <n v="0"/>
    <n v="0"/>
    <n v="0"/>
    <n v="0"/>
    <n v="0"/>
    <n v="3"/>
    <n v="0.57333333333333303"/>
    <n v="0.03"/>
    <n v="1.8333333333333299"/>
    <n v="1.7000000000000001E-2"/>
    <n v="4.0800000000000003E-2"/>
    <n v="2.7171666666667E-2"/>
    <x v="1"/>
    <s v="Flowing"/>
    <s v="Flowing"/>
    <x v="3"/>
    <s v="Jul-12 - Jul-26, 13 days"/>
    <n v="1.3396345E-2"/>
    <n v="0.01"/>
    <n v="0.25352770800000002"/>
    <n v="1E-3"/>
    <n v="0.36899999999999999"/>
    <n v="0.184"/>
    <n v="2E-3"/>
    <n v="4.0000000000000001E-3"/>
    <n v="18.399999999999899"/>
    <n v="0.2"/>
    <n v="1.2847643000000001E-2"/>
    <n v="0.33700000000000002"/>
    <n v="8.9999999999999993E-3"/>
    <n v="1E-3"/>
    <n v="1.4749999999999999E-2"/>
    <n v="0.36899999999999999"/>
    <n v="0.01"/>
    <n v="2E-3"/>
  </r>
  <r>
    <s v="K01-12155-5"/>
    <m/>
    <n v="48"/>
    <m/>
    <m/>
    <n v="12155"/>
    <s v="K01"/>
    <n v="1"/>
    <n v="0"/>
    <s v="LAGUNA NIGUEL"/>
    <s v="SOUTH"/>
    <s v="Dana Point"/>
    <n v="14603.3699214347"/>
    <n v="6405284.2062949203"/>
    <n v="147.045550159241"/>
    <n v="48"/>
    <n v="48"/>
    <n v="0"/>
    <n v="0"/>
    <n v="0"/>
    <n v="0"/>
    <n v="100"/>
    <n v="0"/>
    <n v="0"/>
    <n v="0"/>
    <n v="0"/>
    <n v="0"/>
    <n v="0"/>
    <n v="0"/>
    <n v="2"/>
    <n v="0.8"/>
    <n v="9.5000000000000001E-2"/>
    <n v="1.875"/>
    <n v="5.0999999999999997E-2"/>
    <n v="0.1051875"/>
    <n v="7.8093750000000003E-2"/>
    <x v="0"/>
    <m/>
    <m/>
    <x v="0"/>
    <s v="Aug- 3 - Aug-17, 14 days"/>
    <n v="1.2748479E-2"/>
    <n v="1.0999999999999999E-2"/>
    <n v="0.137151949"/>
    <n v="0"/>
    <n v="0.112"/>
    <n v="6.2E-2"/>
    <n v="0"/>
    <n v="4.0000000000000001E-3"/>
    <n v="5.6363636359999996"/>
    <n v="0"/>
    <n v="1.2451289000000001E-2"/>
    <n v="8.8999999999999996E-2"/>
    <n v="0.01"/>
    <n v="0"/>
    <n v="1.346875E-2"/>
    <n v="0.112"/>
    <n v="1.2E-2"/>
    <n v="0"/>
  </r>
  <r>
    <s v="K01-12058-2"/>
    <s v="K01P09"/>
    <n v="72"/>
    <m/>
    <m/>
    <n v="12058"/>
    <s v="K01"/>
    <n v="1"/>
    <n v="0"/>
    <s v="LAGUNA NIGUEL"/>
    <s v="SOUTH"/>
    <s v="Dana Point"/>
    <n v="16685.265945506198"/>
    <n v="12606326.933501"/>
    <n v="289.402346519167"/>
    <n v="46"/>
    <n v="44"/>
    <n v="0"/>
    <n v="0"/>
    <n v="0"/>
    <n v="0"/>
    <n v="97"/>
    <n v="0"/>
    <n v="0"/>
    <n v="0"/>
    <n v="0"/>
    <n v="0"/>
    <n v="0"/>
    <n v="3"/>
    <n v="3"/>
    <n v="0.56999999999999995"/>
    <n v="4.3333333333333002E-2"/>
    <n v="1.5"/>
    <n v="1.5299999999999999E-2"/>
    <n v="5.0999999999999997E-2"/>
    <n v="3.2937500000000001E-2"/>
    <x v="1"/>
    <s v="Flowing"/>
    <s v="Flowing"/>
    <x v="3"/>
    <s v="Jun-15 - Jun-29, 14 days"/>
    <n v="2.6951732999999999E-2"/>
    <n v="1.2999999999999999E-2"/>
    <n v="0.51765624300000002"/>
    <n v="0"/>
    <n v="0.434"/>
    <n v="0.13800000000000001"/>
    <n v="0"/>
    <n v="0"/>
    <n v="10.61538462"/>
    <n v="0"/>
    <n v="2.8715028E-2"/>
    <n v="0.34300000000000003"/>
    <n v="1.4999999999999999E-2"/>
    <n v="0"/>
    <n v="2.2531249999999999E-2"/>
    <n v="0.434"/>
    <n v="7.0000000000000001E-3"/>
    <n v="0"/>
  </r>
  <r>
    <s v="J07-9109-4"/>
    <s v="J07P02"/>
    <n v="78"/>
    <m/>
    <m/>
    <n v="9109"/>
    <s v="J07"/>
    <n v="1"/>
    <n v="0"/>
    <s v="MISSION VIEJO"/>
    <s v="SOUTH"/>
    <s v="Aliso"/>
    <n v="23940.076970886799"/>
    <n v="16663846.814778799"/>
    <n v="382.550476096024"/>
    <n v="89"/>
    <n v="66"/>
    <n v="0"/>
    <n v="0"/>
    <n v="0"/>
    <n v="0"/>
    <n v="0"/>
    <n v="0"/>
    <n v="1"/>
    <n v="99"/>
    <n v="0"/>
    <n v="0"/>
    <n v="0"/>
    <n v="0"/>
    <n v="5"/>
    <n v="3.08"/>
    <n v="0.13100000000000001"/>
    <n v="1.1510460251046"/>
    <n v="1.1900000000000001E-2"/>
    <n v="6.4016736401673597"/>
    <n v="1.3060472280334701"/>
    <x v="1"/>
    <s v="Dry"/>
    <s v="Flowing"/>
    <x v="2"/>
    <s v="Apr-13 - May- 9, 26 days"/>
    <n v="1.8302004E-2"/>
    <n v="1.4E-2"/>
    <n v="0.235056443"/>
    <n v="0"/>
    <n v="0.621"/>
    <n v="6.5500000000000003E-2"/>
    <n v="1E-3"/>
    <n v="1.2999999999999999E-2"/>
    <n v="4.6785714289999998"/>
    <n v="7.1428570999999996E-2"/>
    <n v="1.7502991999999998E-2"/>
    <n v="0.122"/>
    <n v="1.4999999999999999E-2"/>
    <n v="0"/>
    <n v="2.0760644000000002E-2"/>
    <n v="0.621"/>
    <n v="1.2999999999999999E-2"/>
    <n v="0"/>
  </r>
  <r>
    <s v="J06-9079-1"/>
    <m/>
    <n v="78"/>
    <m/>
    <m/>
    <n v="9079"/>
    <s v="J06"/>
    <n v="1"/>
    <n v="0"/>
    <s v="ALISO VIEJO"/>
    <s v="SOUTH"/>
    <s v="Aliso"/>
    <n v="24803.009680956398"/>
    <n v="15933637.4250293"/>
    <n v="365.78712290372903"/>
    <n v="79"/>
    <n v="59"/>
    <n v="100"/>
    <n v="0"/>
    <n v="0"/>
    <n v="0"/>
    <n v="0"/>
    <n v="0"/>
    <n v="0"/>
    <n v="0"/>
    <n v="0"/>
    <n v="0"/>
    <n v="0"/>
    <n v="0"/>
    <n v="4"/>
    <n v="0.92500000000000004"/>
    <n v="3.7499999999999999E-2"/>
    <n v="1.2083333333333299"/>
    <n v="3.4000000000000002E-2"/>
    <n v="3.6266666666667002E-2"/>
    <n v="3.4672916666666997E-2"/>
    <x v="1"/>
    <s v="Flowing"/>
    <s v="Flowing"/>
    <x v="1"/>
    <s v="Jun-24 - Jul-11, 16 days"/>
    <n v="1.7901121999999998E-2"/>
    <n v="1.6E-2"/>
    <n v="0.106201263"/>
    <n v="5.0000000000000001E-3"/>
    <n v="8.5999999999999993E-2"/>
    <n v="4.9500000000000002E-2"/>
    <n v="8.0000000000000002E-3"/>
    <n v="1.4E-2"/>
    <n v="3.09375"/>
    <n v="0.5"/>
    <n v="1.9316591000000001E-2"/>
    <n v="8.5999999999999993E-2"/>
    <n v="1.7000000000000001E-2"/>
    <n v="6.0000000000000001E-3"/>
    <n v="1.5373263999999999E-2"/>
    <n v="5.1999999999999998E-2"/>
    <n v="1.4E-2"/>
    <n v="5.0000000000000001E-3"/>
  </r>
  <r>
    <s v="L01-724-4"/>
    <s v="L01P03"/>
    <n v="96"/>
    <m/>
    <m/>
    <n v="724"/>
    <s v="L01"/>
    <n v="1"/>
    <n v="0"/>
    <s v="SAN JUAN CAPISTRANO"/>
    <s v="SOUTH"/>
    <s v="San Juan Creek"/>
    <n v="25255.889853356101"/>
    <n v="15901177.490108101"/>
    <n v="365.04194301242501"/>
    <n v="66"/>
    <n v="55"/>
    <n v="0"/>
    <n v="0"/>
    <n v="0"/>
    <n v="0"/>
    <n v="27"/>
    <n v="0"/>
    <n v="0"/>
    <n v="0"/>
    <n v="0"/>
    <n v="0"/>
    <n v="0"/>
    <n v="73"/>
    <n v="2"/>
    <n v="0.92500000000000004"/>
    <n v="4.2500000000000003E-2"/>
    <n v="1.35"/>
    <n v="3.0345E-2"/>
    <n v="6.3750000000000001E-2"/>
    <n v="4.7047499999999999E-2"/>
    <x v="0"/>
    <m/>
    <m/>
    <x v="0"/>
    <s v="Mar-17 - Mar-21, 3 days"/>
    <n v="2.6163539E-2"/>
    <n v="1.6E-2"/>
    <n v="0.38846193299999998"/>
    <n v="0"/>
    <n v="0.372"/>
    <n v="3.2000000000000001E-2"/>
    <n v="1E-3"/>
    <n v="1.2999999999999999E-2"/>
    <n v="2"/>
    <n v="6.25E-2"/>
    <n v="1.5558011E-2"/>
    <n v="3.7999999999999999E-2"/>
    <n v="1.6E-2"/>
    <n v="0"/>
    <n v="3.6161458E-2"/>
    <n v="0.372"/>
    <n v="1.6E-2"/>
    <n v="0"/>
  </r>
  <r>
    <s v="L03-141-1"/>
    <m/>
    <n v="84"/>
    <m/>
    <m/>
    <n v="141"/>
    <s v="L03"/>
    <n v="1"/>
    <n v="0"/>
    <s v="MISSION VIEJO"/>
    <s v="SOUTH"/>
    <s v="San Juan Creek"/>
    <n v="38367.529706358"/>
    <n v="37305715.486433402"/>
    <n v="856.42405256516099"/>
    <n v="24"/>
    <n v="12"/>
    <n v="0"/>
    <n v="0"/>
    <n v="0"/>
    <n v="0"/>
    <n v="0"/>
    <n v="0"/>
    <n v="0"/>
    <n v="27"/>
    <n v="39"/>
    <n v="34"/>
    <n v="0"/>
    <n v="0"/>
    <n v="2"/>
    <n v="1.05"/>
    <n v="0.06"/>
    <n v="0.24620060790273601"/>
    <n v="4.3714285714289997E-3"/>
    <n v="8.3010638297870004E-3"/>
    <n v="6.3362462006080001E-3"/>
    <x v="1"/>
    <m/>
    <s v="Flowing"/>
    <x v="2"/>
    <s v="Jun- 2 - Jun-14, 12 days"/>
    <n v="2.0824537000000001E-2"/>
    <n v="1.6E-2"/>
    <n v="0.23167560800000001"/>
    <n v="0"/>
    <n v="0.254"/>
    <n v="7.5999999999999998E-2"/>
    <n v="3.0000000000000001E-3"/>
    <n v="1.2E-2"/>
    <n v="4.75"/>
    <n v="0.1875"/>
    <n v="2.0912666E-2"/>
    <n v="0.254"/>
    <n v="1.6E-2"/>
    <n v="0"/>
    <n v="2.0644791999999999E-2"/>
    <n v="0.158"/>
    <n v="1.7999999999999999E-2"/>
    <n v="0"/>
  </r>
  <r>
    <s v="J01-9224-2"/>
    <s v="J01P25"/>
    <n v="39"/>
    <m/>
    <m/>
    <n v="9224"/>
    <s v="J01"/>
    <n v="1"/>
    <n v="0"/>
    <s v="LAGUNA NIGUEL"/>
    <s v="SOUTH"/>
    <s v="Aliso"/>
    <n v="14688.682923648201"/>
    <n v="9690643.8780673593"/>
    <n v="222.46726523817301"/>
    <n v="98"/>
    <n v="0"/>
    <n v="2"/>
    <n v="0"/>
    <n v="0"/>
    <n v="0"/>
    <n v="98"/>
    <n v="0"/>
    <n v="0"/>
    <n v="0"/>
    <n v="0"/>
    <n v="0"/>
    <n v="0"/>
    <n v="0"/>
    <n v="3"/>
    <n v="0.8"/>
    <n v="6.3333333333333006E-2"/>
    <n v="1.7333333333333301"/>
    <n v="4.0800000000000003E-2"/>
    <n v="0.12239999999999999"/>
    <n v="7.3440000000000005E-2"/>
    <x v="1"/>
    <s v="Flowing"/>
    <s v="Flowing"/>
    <x v="3"/>
    <s v="Jul-27 - Aug-11, 14 days"/>
    <n v="2.0631579000000001E-2"/>
    <n v="2.1000000000000001E-2"/>
    <n v="-1.7857142999999999E-2"/>
    <n v="1.7999999999999999E-2"/>
    <n v="2.4E-2"/>
    <n v="2.3E-2"/>
    <n v="1.9E-2"/>
    <n v="0.02"/>
    <n v="1.095238095"/>
    <n v="0.90476190499999998"/>
    <n v="2.0610894000000001E-2"/>
    <n v="2.4E-2"/>
    <n v="2.1000000000000001E-2"/>
    <n v="1.7999999999999999E-2"/>
    <n v="2.0686632E-2"/>
    <n v="2.3E-2"/>
    <n v="2.1000000000000001E-2"/>
    <n v="1.9E-2"/>
  </r>
  <r>
    <s v="L02-246-1"/>
    <s v="L11P01"/>
    <n v="66"/>
    <m/>
    <m/>
    <n v="640"/>
    <s v="L02"/>
    <n v="1"/>
    <n v="0"/>
    <s v="RANCHO SANTA MARGARITA"/>
    <s v="SOUTH"/>
    <s v="San Juan Creek"/>
    <n v="15443.3881386796"/>
    <n v="9932960.3262872808"/>
    <n v="228.030102778795"/>
    <n v="95"/>
    <n v="86"/>
    <n v="0"/>
    <n v="0"/>
    <n v="0"/>
    <n v="0"/>
    <n v="0"/>
    <n v="0"/>
    <n v="0"/>
    <n v="0"/>
    <n v="0"/>
    <n v="100"/>
    <n v="0"/>
    <n v="0"/>
    <n v="2"/>
    <n v="0.97499999999999998"/>
    <n v="0.08"/>
    <n v="0.75"/>
    <n v="2.9006250000000001E-2"/>
    <n v="7.4587500000000001E-2"/>
    <n v="5.1796874999999999E-2"/>
    <x v="1"/>
    <s v="Flowing"/>
    <s v="Flowing"/>
    <x v="1"/>
    <s v="Jun-16 - Jun-30, 13 days"/>
    <n v="2.7654410000000001E-2"/>
    <n v="2.7E-2"/>
    <n v="2.366385E-2"/>
    <n v="7.0000000000000001E-3"/>
    <n v="6.7000000000000004E-2"/>
    <n v="5.0999999999999997E-2"/>
    <n v="1.7999999999999999E-2"/>
    <n v="2.4E-2"/>
    <n v="1.888888889"/>
    <n v="0.66666666699999999"/>
    <n v="2.7839789E-2"/>
    <n v="6.7000000000000004E-2"/>
    <n v="2.8000000000000001E-2"/>
    <n v="7.0000000000000001E-3"/>
    <n v="2.7203839E-2"/>
    <n v="6.0999999999999999E-2"/>
    <n v="2.5999999999999999E-2"/>
    <n v="1.0999999999999999E-2"/>
  </r>
  <r>
    <s v="J03-9234-6"/>
    <m/>
    <n v="78"/>
    <m/>
    <m/>
    <n v="9234"/>
    <s v="J03"/>
    <n v="1"/>
    <n v="0"/>
    <s v="LAGUNA NIGUEL"/>
    <s v="SOUTH"/>
    <s v="Aliso"/>
    <n v="20544.948683509101"/>
    <n v="10109842.9494379"/>
    <n v="232.090781711548"/>
    <n v="89"/>
    <n v="86"/>
    <n v="0"/>
    <n v="0"/>
    <n v="0"/>
    <n v="0"/>
    <n v="99"/>
    <n v="0"/>
    <n v="0"/>
    <n v="0"/>
    <n v="0"/>
    <n v="0"/>
    <n v="0"/>
    <n v="1"/>
    <n v="2"/>
    <n v="1.05"/>
    <n v="0.78500000000000003"/>
    <n v="2.8571428571428501"/>
    <n v="0.12239999999999999"/>
    <n v="4.59"/>
    <n v="2.3561999999999999"/>
    <x v="2"/>
    <s v="Flowing"/>
    <s v="Flowing"/>
    <x v="1"/>
    <s v="Aug- 3 - Aug-17, 13 days"/>
    <n v="4.2776977000000001E-2"/>
    <n v="3.5999999999999997E-2"/>
    <n v="0.15842579700000001"/>
    <n v="0"/>
    <n v="0.33100000000000002"/>
    <n v="0.14099999999999999"/>
    <n v="3.0000000000000001E-3"/>
    <n v="0.02"/>
    <n v="3.9166666669999999"/>
    <n v="8.3333332999999996E-2"/>
    <n v="3.9260976000000003E-2"/>
    <n v="0.33100000000000002"/>
    <n v="3.4000000000000002E-2"/>
    <n v="0"/>
    <n v="5.1536458E-2"/>
    <n v="0.185"/>
    <n v="4.1000000000000002E-2"/>
    <n v="0"/>
  </r>
  <r>
    <s v="L03-662-3"/>
    <s v="L03P16"/>
    <n v="60"/>
    <m/>
    <m/>
    <n v="662"/>
    <s v="L03"/>
    <n v="1"/>
    <n v="0"/>
    <s v="MISSION VIEJO"/>
    <s v="SOUTH"/>
    <s v="San Juan Creek"/>
    <n v="31558.079220043601"/>
    <n v="20345404.107941199"/>
    <n v="467.067665369812"/>
    <n v="67"/>
    <n v="63"/>
    <n v="0"/>
    <n v="0"/>
    <n v="0"/>
    <n v="0"/>
    <n v="0"/>
    <n v="0"/>
    <n v="0"/>
    <n v="100"/>
    <n v="0"/>
    <n v="0"/>
    <n v="0"/>
    <n v="0"/>
    <n v="2"/>
    <n v="0.95"/>
    <n v="0.05"/>
    <n v="1.6875"/>
    <n v="5.7375000000000002E-2"/>
    <n v="7.6499999999999999E-2"/>
    <n v="6.6937499999999997E-2"/>
    <x v="1"/>
    <m/>
    <s v="Flowing"/>
    <x v="2"/>
    <s v="May-31 - Jun-14, 13 days"/>
    <n v="4.1715336999999998E-2"/>
    <n v="3.6999999999999998E-2"/>
    <n v="0.11303606099999999"/>
    <n v="0"/>
    <n v="0.125"/>
    <n v="9.1999999999999998E-2"/>
    <n v="1.4999999999999999E-2"/>
    <n v="2.5000000000000001E-2"/>
    <n v="2.486486486"/>
    <n v="0.405405405"/>
    <n v="4.5379564999999997E-2"/>
    <n v="0.125"/>
    <n v="0.04"/>
    <n v="0"/>
    <n v="3.2936458000000002E-2"/>
    <n v="0.1"/>
    <n v="3.2000000000000001E-2"/>
    <n v="1.2999999999999999E-2"/>
  </r>
  <r>
    <s v="L03-418-8"/>
    <m/>
    <n v="66"/>
    <m/>
    <m/>
    <n v="418"/>
    <s v="L03"/>
    <n v="1"/>
    <n v="0"/>
    <s v="LAGUNA NIGUEL"/>
    <s v="SOUTH"/>
    <s v="San Juan Creek"/>
    <n v="18928.911719135602"/>
    <n v="9171460.67367284"/>
    <n v="210.54842175444401"/>
    <n v="91"/>
    <n v="37"/>
    <n v="0"/>
    <n v="0"/>
    <n v="0"/>
    <n v="0"/>
    <n v="10"/>
    <n v="0"/>
    <n v="0"/>
    <n v="90"/>
    <n v="0"/>
    <n v="0"/>
    <n v="0"/>
    <n v="0"/>
    <n v="3"/>
    <n v="1.31666666666666"/>
    <n v="6.3333333333333006E-2"/>
    <n v="1.0249999999999999"/>
    <n v="4.335E-2"/>
    <n v="7.3440000000000005E-2"/>
    <n v="6.1242499999999998E-2"/>
    <x v="1"/>
    <s v="Flowing"/>
    <s v="Flowing"/>
    <x v="1"/>
    <s v="Jun-16 - Jun-30, 13 days"/>
    <n v="5.2325516000000002E-2"/>
    <n v="3.7999999999999999E-2"/>
    <n v="0.27377687299999998"/>
    <n v="0"/>
    <n v="1.01"/>
    <n v="0.17699999999999999"/>
    <n v="7.0000000000000001E-3"/>
    <n v="1.9E-2"/>
    <n v="4.6578947370000003"/>
    <n v="0.18421052600000001"/>
    <n v="5.3454185000000001E-2"/>
    <n v="0.81699999999999995"/>
    <n v="0.04"/>
    <n v="0"/>
    <n v="4.9607298000000001E-2"/>
    <n v="1.01"/>
    <n v="3.3000000000000002E-2"/>
    <n v="0"/>
  </r>
  <r>
    <s v="M01-050-4"/>
    <s v="M01@CGV"/>
    <n v="48"/>
    <m/>
    <m/>
    <n v="50"/>
    <s v="M01"/>
    <n v="1"/>
    <n v="0"/>
    <s v="SAN CLEMENTE"/>
    <s v="SOUTH"/>
    <s v="San Clemente"/>
    <n v="71834.500981378194"/>
    <n v="163657395.21656099"/>
    <n v="3757.0685300110699"/>
    <n v="47"/>
    <n v="33"/>
    <n v="0"/>
    <n v="0"/>
    <n v="0"/>
    <n v="0"/>
    <n v="0"/>
    <n v="0"/>
    <n v="0"/>
    <n v="0"/>
    <n v="17"/>
    <n v="0"/>
    <n v="62"/>
    <n v="21"/>
    <n v="2"/>
    <n v="0.8"/>
    <n v="3.2500000000000001E-2"/>
    <n v="1.125"/>
    <n v="1.115625E-2"/>
    <n v="4.5900000000000003E-2"/>
    <n v="2.8528125000000001E-2"/>
    <x v="0"/>
    <m/>
    <m/>
    <x v="0"/>
    <s v="Jul-19 - Aug- 1, 12 days"/>
    <n v="4.3891215999999997E-2"/>
    <n v="4.2999999999999997E-2"/>
    <n v="2.0305103000000001E-2"/>
    <n v="1.2E-2"/>
    <n v="0.11899999999999999"/>
    <n v="8.7499999999999994E-2"/>
    <n v="1.9E-2"/>
    <n v="2.9000000000000001E-2"/>
    <n v="2.0348837209999999"/>
    <n v="0.44186046499999998"/>
    <n v="4.2498613999999997E-2"/>
    <n v="0.11899999999999999"/>
    <n v="4.2999999999999997E-2"/>
    <n v="1.2E-2"/>
    <n v="4.6943576000000001E-2"/>
    <n v="0.1"/>
    <n v="4.3999999999999997E-2"/>
    <n v="1.9E-2"/>
  </r>
  <r>
    <s v="L02-166-2"/>
    <s v="L02P25"/>
    <n v="90"/>
    <m/>
    <m/>
    <n v="166"/>
    <s v="L02"/>
    <n v="1"/>
    <n v="0"/>
    <s v="RANCHO SANTA MARGARITA"/>
    <s v="SOUTH"/>
    <s v="San Juan Creek"/>
    <n v="24414.986770187199"/>
    <n v="16057343.476462699"/>
    <n v="368.62703192340501"/>
    <n v="88"/>
    <n v="87"/>
    <n v="0"/>
    <n v="0"/>
    <n v="0"/>
    <n v="0"/>
    <n v="0"/>
    <n v="0"/>
    <n v="0"/>
    <n v="33"/>
    <n v="0"/>
    <n v="67"/>
    <n v="0"/>
    <n v="0"/>
    <n v="1"/>
    <n v="1.54"/>
    <n v="0.06"/>
    <n v="1"/>
    <n v="7.8539999999999999E-2"/>
    <n v="7.8539999999999999E-2"/>
    <n v="7.8539999999999999E-2"/>
    <x v="0"/>
    <m/>
    <m/>
    <x v="0"/>
    <s v="Apr- 6 - May- 3, 27 days"/>
    <n v="5.2055789999999998E-2"/>
    <n v="0.05"/>
    <n v="3.9492054999999998E-2"/>
    <n v="4.0000000000000001E-3"/>
    <n v="0.44"/>
    <n v="0.11899999999999999"/>
    <n v="1.2999999999999999E-2"/>
    <n v="6.6000000000000003E-2"/>
    <n v="2.38"/>
    <n v="0.26"/>
    <n v="5.1021258999999999E-2"/>
    <n v="0.44"/>
    <n v="0.05"/>
    <n v="4.0000000000000001E-3"/>
    <n v="5.4964368E-2"/>
    <n v="0.4"/>
    <n v="5.0999999999999997E-2"/>
    <n v="5.0000000000000001E-3"/>
  </r>
  <r>
    <s v="M02-085-1"/>
    <s v="M02P06"/>
    <n v="48"/>
    <m/>
    <m/>
    <n v="85"/>
    <s v="M02"/>
    <n v="1"/>
    <n v="0"/>
    <s v="SAN CLEMENTE"/>
    <s v="SOUTH"/>
    <s v="San Clemente"/>
    <n v="22182.308562730799"/>
    <n v="16230277.496748401"/>
    <n v="372.59706312501299"/>
    <n v="50"/>
    <n v="48"/>
    <n v="0"/>
    <n v="0"/>
    <n v="0"/>
    <n v="0"/>
    <n v="0"/>
    <n v="0"/>
    <n v="0"/>
    <n v="0"/>
    <n v="0"/>
    <n v="0"/>
    <n v="100"/>
    <n v="0"/>
    <n v="2"/>
    <n v="0.6"/>
    <n v="3.7499999999999999E-2"/>
    <n v="1.6666666666666601"/>
    <n v="2.7199999999999998E-2"/>
    <n v="3.5700000000000003E-2"/>
    <n v="3.1449999999999999E-2"/>
    <x v="1"/>
    <s v="Flowing"/>
    <s v="Flowing"/>
    <x v="1"/>
    <s v="Jul-15 - Jul-29, 13 days"/>
    <n v="5.6779574999999999E-2"/>
    <n v="0.05"/>
    <n v="0.11940165599999999"/>
    <n v="0"/>
    <n v="0.23599999999999999"/>
    <n v="0.13800000000000001"/>
    <n v="1.2999999999999999E-2"/>
    <n v="0.04"/>
    <n v="2.76"/>
    <n v="0.26"/>
    <n v="5.8271755000000001E-2"/>
    <n v="0.22"/>
    <n v="5.1999999999999998E-2"/>
    <n v="0"/>
    <n v="5.3147568999999999E-2"/>
    <n v="0.23599999999999999"/>
    <n v="4.8000000000000001E-2"/>
    <n v="3.0000000000000001E-3"/>
  </r>
  <r>
    <s v="J01-9005-1"/>
    <s v="J03P05"/>
    <n v="54"/>
    <m/>
    <m/>
    <n v="9005"/>
    <s v="J01"/>
    <n v="1"/>
    <n v="0"/>
    <s v="LAGUNA NIGUEL"/>
    <s v="SOUTH"/>
    <s v="Aliso"/>
    <n v="13737.5431672248"/>
    <n v="5566534.2872691201"/>
    <n v="127.790441515043"/>
    <n v="81"/>
    <n v="81"/>
    <n v="0"/>
    <n v="0"/>
    <n v="0"/>
    <n v="0"/>
    <n v="100"/>
    <n v="0"/>
    <n v="0"/>
    <n v="0"/>
    <n v="0"/>
    <n v="0"/>
    <n v="0"/>
    <n v="0"/>
    <n v="3"/>
    <n v="0.76666666666666705"/>
    <n v="0.03"/>
    <n v="1.0888888888888799"/>
    <n v="1.3599999999999999E-2"/>
    <n v="2.0400000000000001E-2"/>
    <n v="1.7000000000000001E-2"/>
    <x v="1"/>
    <s v="Flowing"/>
    <s v="Flowing"/>
    <x v="3"/>
    <s v="Jul-12 - Jul-26, 13 days"/>
    <n v="5.7142635999999997E-2"/>
    <n v="5.3999999999999999E-2"/>
    <n v="5.4996344000000003E-2"/>
    <n v="8.9999999999999993E-3"/>
    <n v="0.21099999999999999"/>
    <n v="0.14099999999999999"/>
    <n v="1.9E-2"/>
    <n v="7.5999999999999998E-2"/>
    <n v="2.611111111"/>
    <n v="0.35185185200000002"/>
    <n v="5.8122568999999999E-2"/>
    <n v="0.21099999999999999"/>
    <n v="5.3999999999999999E-2"/>
    <n v="8.9999999999999993E-3"/>
    <n v="5.4824653000000001E-2"/>
    <n v="0.157"/>
    <n v="5.1999999999999998E-2"/>
    <n v="1.4E-2"/>
  </r>
  <r>
    <s v="J01-9082-2"/>
    <m/>
    <n v="72"/>
    <m/>
    <m/>
    <n v="9082"/>
    <s v="J01"/>
    <n v="1"/>
    <n v="0"/>
    <s v="ALISO VIEJO"/>
    <s v="SOUTH"/>
    <s v="Aliso"/>
    <n v="10619.0299810373"/>
    <n v="5430205.8138061604"/>
    <n v="124.660760655133"/>
    <n v="84"/>
    <n v="82"/>
    <n v="98"/>
    <n v="0"/>
    <n v="0"/>
    <n v="0"/>
    <n v="0"/>
    <n v="0"/>
    <n v="0"/>
    <n v="0"/>
    <n v="2"/>
    <n v="0"/>
    <n v="0"/>
    <n v="0"/>
    <n v="1"/>
    <n v="1.7"/>
    <n v="0.14000000000000001"/>
    <n v="1.5"/>
    <n v="0.30345"/>
    <n v="0.30345"/>
    <n v="0.30345"/>
    <x v="0"/>
    <m/>
    <m/>
    <x v="0"/>
    <s v="Jun- 9 - Jun-24, 14 days"/>
    <n v="6.4249941000000005E-2"/>
    <n v="5.8999999999999997E-2"/>
    <n v="8.1711215000000004E-2"/>
    <n v="2E-3"/>
    <n v="0.30199999999999999"/>
    <n v="0.13200000000000001"/>
    <n v="1.4E-2"/>
    <n v="4.9000000000000002E-2"/>
    <n v="2.2372881360000001"/>
    <n v="0.23728813600000001"/>
    <n v="6.1764436999999998E-2"/>
    <n v="0.30199999999999999"/>
    <n v="5.8999999999999997E-2"/>
    <n v="2E-3"/>
    <n v="7.0862847000000007E-2"/>
    <n v="0.27800000000000002"/>
    <n v="5.8500000000000003E-2"/>
    <n v="8.0000000000000002E-3"/>
  </r>
  <r>
    <s v="L02-374-1"/>
    <s v="L02P50"/>
    <n v="102"/>
    <m/>
    <m/>
    <n v="374"/>
    <s v="L02"/>
    <n v="1"/>
    <n v="0"/>
    <s v="ORANGE CO"/>
    <s v="SOUTH"/>
    <s v="San Juan Creek"/>
    <n v="26436.379007568099"/>
    <n v="19708226.332956798"/>
    <n v="452.44003083335502"/>
    <n v="62"/>
    <n v="52"/>
    <n v="0"/>
    <n v="0"/>
    <n v="0"/>
    <n v="0"/>
    <n v="0"/>
    <n v="0"/>
    <n v="0"/>
    <n v="0"/>
    <n v="100"/>
    <n v="0"/>
    <n v="0"/>
    <n v="0"/>
    <n v="1"/>
    <n v="1.1399999999999999"/>
    <n v="0.4"/>
    <n v="1.5"/>
    <n v="0.58140000000000003"/>
    <n v="0.58140000000000003"/>
    <n v="0.58140000000000003"/>
    <x v="1"/>
    <s v="Flowing"/>
    <s v="Flowing"/>
    <x v="1"/>
    <s v="May-25 - Jun- 8, 13 days"/>
    <n v="6.7563718999999994E-2"/>
    <n v="6.2E-2"/>
    <n v="8.2347735000000005E-2"/>
    <n v="0"/>
    <n v="0.32500000000000001"/>
    <n v="0.217"/>
    <n v="8.0000000000000002E-3"/>
    <n v="7.1999999999999995E-2"/>
    <n v="3.5"/>
    <n v="0.12903225800000001"/>
    <n v="6.7068336000000006E-2"/>
    <n v="0.32500000000000001"/>
    <n v="6.2E-2"/>
    <n v="0"/>
    <n v="6.8765624999999997E-2"/>
    <n v="0.24199999999999999"/>
    <n v="6.0999999999999999E-2"/>
    <n v="6.0000000000000001E-3"/>
  </r>
  <r>
    <s v="J01-9007-1"/>
    <m/>
    <n v="66"/>
    <m/>
    <m/>
    <n v="9007"/>
    <s v="J01"/>
    <n v="1"/>
    <n v="0"/>
    <s v="ALISO VIEJO"/>
    <s v="SOUTH"/>
    <s v="Aliso"/>
    <n v="12832.363038887301"/>
    <n v="6342864.1189773902"/>
    <n v="145.61257766575201"/>
    <n v="87"/>
    <n v="78"/>
    <n v="98"/>
    <n v="0"/>
    <n v="0"/>
    <n v="0"/>
    <n v="0"/>
    <n v="0"/>
    <n v="0"/>
    <n v="0"/>
    <n v="2"/>
    <n v="0"/>
    <n v="0"/>
    <n v="0"/>
    <n v="3"/>
    <n v="0.8"/>
    <n v="0.05"/>
    <n v="2.5362318840579698"/>
    <n v="5.0999999999999997E-2"/>
    <n v="0.113086956521739"/>
    <n v="8.8695652173912995E-2"/>
    <x v="1"/>
    <s v="Flowing"/>
    <s v="Flowing"/>
    <x v="2"/>
    <s v="Jun-10 - Jun-24, 13 days"/>
    <n v="6.9006286E-2"/>
    <n v="6.6000000000000003E-2"/>
    <n v="4.3565394E-2"/>
    <n v="0"/>
    <n v="0.45800000000000002"/>
    <n v="0.189"/>
    <n v="1.4999999999999999E-2"/>
    <n v="0.05"/>
    <n v="2.863636364"/>
    <n v="0.22727272700000001"/>
    <n v="6.8313203000000003E-2"/>
    <n v="0.30499999999999999"/>
    <n v="6.5000000000000002E-2"/>
    <n v="0"/>
    <n v="7.0610243000000003E-2"/>
    <n v="0.45800000000000002"/>
    <n v="6.7000000000000004E-2"/>
    <n v="1.2E-2"/>
  </r>
  <r>
    <s v="L03-073-3"/>
    <m/>
    <n v="108"/>
    <m/>
    <m/>
    <n v="73"/>
    <s v="L03"/>
    <n v="1"/>
    <n v="0"/>
    <s v="MISSION VIEJO"/>
    <s v="SOUTH"/>
    <s v="San Juan Creek"/>
    <n v="48405.067521432698"/>
    <n v="49638756.008291103"/>
    <n v="1139.55258679796"/>
    <n v="39"/>
    <n v="28"/>
    <n v="0"/>
    <n v="0"/>
    <n v="0"/>
    <n v="0"/>
    <n v="0"/>
    <n v="0"/>
    <n v="0"/>
    <n v="45"/>
    <n v="29"/>
    <n v="26"/>
    <n v="0"/>
    <n v="0"/>
    <n v="3"/>
    <n v="1.56666666666666"/>
    <n v="0.103333333333333"/>
    <n v="0.83333333333333304"/>
    <n v="0.10199999999999999"/>
    <n v="0.1105"/>
    <n v="0.104833333333333"/>
    <x v="1"/>
    <s v="Flowing"/>
    <s v="Flowing"/>
    <x v="1"/>
    <s v="Jul- 1 - Jul-18, 16 days"/>
    <n v="0.10516911600000001"/>
    <n v="9.7000000000000003E-2"/>
    <n v="7.7675998999999996E-2"/>
    <n v="3.1E-2"/>
    <n v="0.58799999999999997"/>
    <n v="0.20399999999999999"/>
    <n v="5.45E-2"/>
    <n v="6.8000000000000005E-2"/>
    <n v="2.1030927840000002"/>
    <n v="0.56185567000000003"/>
    <n v="0.104883661"/>
    <n v="0.58799999999999997"/>
    <n v="9.7000000000000003E-2"/>
    <n v="3.5999999999999997E-2"/>
    <n v="0.105681713"/>
    <n v="0.30399999999999999"/>
    <n v="9.6000000000000002E-2"/>
    <n v="3.1E-2"/>
  </r>
  <r>
    <s v="J01-10004-1"/>
    <s v="munger"/>
    <m/>
    <n v="5.5"/>
    <n v="9"/>
    <n v="10004"/>
    <s v="J01"/>
    <n v="1"/>
    <n v="1"/>
    <s v="LAKE FOREST"/>
    <s v="SOUTH"/>
    <s v="Aliso"/>
    <n v="33917.762698888597"/>
    <n v="20903845.682929698"/>
    <n v="479.88775983888598"/>
    <n v="75"/>
    <n v="70"/>
    <n v="0"/>
    <n v="0"/>
    <n v="0"/>
    <n v="0"/>
    <n v="0"/>
    <n v="0"/>
    <n v="100"/>
    <n v="0"/>
    <n v="0"/>
    <n v="0"/>
    <n v="0"/>
    <n v="0"/>
    <m/>
    <m/>
    <m/>
    <m/>
    <m/>
    <m/>
    <m/>
    <x v="0"/>
    <m/>
    <m/>
    <x v="0"/>
    <s v="Jul-19 - Jul-31, 12 days"/>
    <n v="0.101816878"/>
    <n v="9.9000000000000005E-2"/>
    <n v="2.7666120999999998E-2"/>
    <n v="7.8E-2"/>
    <n v="0.14099999999999999"/>
    <n v="0.121"/>
    <n v="0.09"/>
    <n v="9.7000000000000003E-2"/>
    <n v="1.2222222220000001"/>
    <n v="0.909090909"/>
    <n v="0.102691378"/>
    <n v="0.13500000000000001"/>
    <n v="0.1"/>
    <n v="8.1000000000000003E-2"/>
    <n v="9.9919579999999994E-2"/>
    <n v="0.14099999999999999"/>
    <n v="9.9000000000000005E-2"/>
    <n v="7.8E-2"/>
  </r>
  <r>
    <s v="J01-9066-2"/>
    <m/>
    <n v="81"/>
    <m/>
    <m/>
    <n v="9066"/>
    <s v="J01"/>
    <n v="1"/>
    <n v="0"/>
    <s v="LAKE FOREST"/>
    <s v="SOUTH"/>
    <s v="Aliso"/>
    <n v="21320.3851644354"/>
    <n v="18310358.859985098"/>
    <n v="420.34930933019098"/>
    <n v="95"/>
    <n v="48"/>
    <n v="0"/>
    <n v="0"/>
    <n v="0"/>
    <n v="0"/>
    <n v="0"/>
    <n v="0"/>
    <n v="1"/>
    <n v="99"/>
    <n v="0"/>
    <n v="0"/>
    <n v="0"/>
    <n v="0"/>
    <n v="2"/>
    <n v="1.25"/>
    <n v="4.4999999999999998E-2"/>
    <n v="1.1578947368421"/>
    <n v="4.0800000000000003E-2"/>
    <n v="7.2697368421052996E-2"/>
    <n v="5.6748684210526E-2"/>
    <x v="0"/>
    <m/>
    <m/>
    <x v="0"/>
    <s v="Jul-27 - Aug-11, 14 days"/>
    <n v="0.12067952"/>
    <n v="9.9000000000000005E-2"/>
    <n v="0.17964539700000001"/>
    <n v="0"/>
    <n v="0.73199999999999998"/>
    <n v="0.3745"/>
    <n v="2.4E-2"/>
    <n v="5.1999999999999998E-2"/>
    <n v="3.7828282830000002"/>
    <n v="0.24242424200000001"/>
    <n v="0.122177362"/>
    <n v="0.73199999999999998"/>
    <n v="0.10100000000000001"/>
    <n v="0"/>
    <n v="0.11664756900000001"/>
    <n v="0.40500000000000003"/>
    <n v="9.7000000000000003E-2"/>
    <n v="2.1000000000000001E-2"/>
  </r>
  <r>
    <s v="M01-042-1"/>
    <s v="M01S01"/>
    <n v="36"/>
    <m/>
    <m/>
    <n v="42"/>
    <s v="M01"/>
    <n v="1"/>
    <n v="0"/>
    <s v="SAN CLEMENTE"/>
    <s v="SOUTH"/>
    <s v="San Clemente"/>
    <n v="15237.324781506801"/>
    <n v="9789225.00427958"/>
    <n v="224.73038354367301"/>
    <n v="58"/>
    <n v="58"/>
    <n v="0"/>
    <n v="0"/>
    <n v="0"/>
    <n v="0"/>
    <n v="0"/>
    <n v="0"/>
    <n v="0"/>
    <n v="0"/>
    <n v="0"/>
    <n v="0"/>
    <n v="100"/>
    <n v="0"/>
    <n v="2"/>
    <n v="0.6"/>
    <n v="2.5000000000000001E-2"/>
    <n v="1.25"/>
    <n v="1.0200000000000001E-2"/>
    <n v="2.2950000000000002E-2"/>
    <n v="1.6574999999999999E-2"/>
    <x v="1"/>
    <m/>
    <s v="Flowing"/>
    <x v="2"/>
    <s v="Jul-19 - Aug- 2, 13 days"/>
    <n v="0.10024767599999999"/>
    <n v="9.9000000000000005E-2"/>
    <n v="1.2445939E-2"/>
    <n v="2.8000000000000001E-2"/>
    <n v="0.24299999999999999"/>
    <n v="0.19900000000000001"/>
    <n v="3.9E-2"/>
    <n v="5.7000000000000002E-2"/>
    <n v="2.0101010100000001"/>
    <n v="0.393939394"/>
    <n v="0.10256451"/>
    <n v="0.24299999999999999"/>
    <n v="0.10199999999999999"/>
    <n v="2.8000000000000001E-2"/>
    <n v="9.4558160000000002E-2"/>
    <n v="0.20200000000000001"/>
    <n v="9.0999999999999998E-2"/>
    <n v="3.7999999999999999E-2"/>
  </r>
  <r>
    <s v="K01-12036-1"/>
    <m/>
    <n v="39"/>
    <m/>
    <m/>
    <n v="12036"/>
    <s v="K01"/>
    <n v="1"/>
    <n v="0"/>
    <s v="LAGUNA NIGUEL"/>
    <s v="SOUTH"/>
    <s v="Dana Point"/>
    <n v="12973.430842088799"/>
    <n v="6002780.9678765796"/>
    <n v="137.80531846492599"/>
    <n v="31"/>
    <n v="31"/>
    <n v="0"/>
    <n v="0"/>
    <n v="0"/>
    <n v="0"/>
    <n v="100"/>
    <n v="0"/>
    <n v="0"/>
    <n v="0"/>
    <n v="0"/>
    <n v="0"/>
    <n v="0"/>
    <n v="0"/>
    <n v="2"/>
    <n v="0.47499999999999998"/>
    <n v="3.5000000000000003E-2"/>
    <n v="1.45"/>
    <n v="6.3749999999999996E-3"/>
    <n v="3.6720000000000003E-2"/>
    <n v="2.1547500000000001E-2"/>
    <x v="0"/>
    <m/>
    <m/>
    <x v="0"/>
    <s v="Jul-29 - Aug-12, 13 days"/>
    <n v="9.9385081E-2"/>
    <n v="0.123"/>
    <n v="-0.237610298"/>
    <n v="0"/>
    <n v="0.30499999999999999"/>
    <n v="0.223"/>
    <n v="0"/>
    <n v="0.14499999999999999"/>
    <n v="1.8130081300000001"/>
    <n v="0"/>
    <n v="0.107772269"/>
    <n v="0.26400000000000001"/>
    <n v="0.13300000000000001"/>
    <n v="0"/>
    <n v="8.1322048999999993E-2"/>
    <n v="0.30499999999999999"/>
    <n v="6.4000000000000001E-2"/>
    <n v="0"/>
  </r>
  <r>
    <s v="K01-12177-1"/>
    <s v="K01P07"/>
    <n v="78"/>
    <m/>
    <m/>
    <n v="12177"/>
    <s v="K01"/>
    <n v="1"/>
    <n v="0"/>
    <s v="LAGUNA NIGUEL"/>
    <s v="SOUTH"/>
    <s v="Dana Point"/>
    <n v="29476.341841978501"/>
    <n v="22321426.930841599"/>
    <n v="512.43104875177801"/>
    <n v="81"/>
    <n v="76"/>
    <n v="0"/>
    <n v="0"/>
    <n v="0"/>
    <n v="0"/>
    <n v="100"/>
    <n v="0"/>
    <n v="0"/>
    <n v="0"/>
    <n v="0"/>
    <n v="0"/>
    <n v="0"/>
    <n v="0"/>
    <n v="3"/>
    <n v="0.95"/>
    <n v="2.8333333333332999E-2"/>
    <n v="3.1495726495726499"/>
    <n v="1.625625E-2"/>
    <n v="0.172615384615385"/>
    <n v="8.8457211538462005E-2"/>
    <x v="1"/>
    <s v="Flowing"/>
    <s v="Flowing"/>
    <x v="1"/>
    <s v="Jun- 2 - Jun-13, 11 days"/>
    <n v="0.13572933700000001"/>
    <n v="0.13300000000000001"/>
    <n v="2.0108675999999999E-2"/>
    <n v="2.1999999999999999E-2"/>
    <n v="0.41499999999999998"/>
    <n v="0.22900000000000001"/>
    <n v="7.2999999999999995E-2"/>
    <n v="0.107"/>
    <n v="1.721804511"/>
    <n v="0.54887218000000004"/>
    <n v="0.141063152"/>
    <n v="0.41499999999999998"/>
    <n v="0.13600000000000001"/>
    <n v="2.1999999999999999E-2"/>
    <n v="0.126139583"/>
    <n v="0.25700000000000001"/>
    <n v="0.128"/>
    <n v="2.1999999999999999E-2"/>
  </r>
  <r>
    <s v="K01-12126-1"/>
    <s v="K01S01"/>
    <n v="120"/>
    <m/>
    <m/>
    <n v="12126"/>
    <s v="K01"/>
    <n v="1"/>
    <n v="0"/>
    <s v="DANA POINT"/>
    <s v="SOUTH"/>
    <s v="Dana Point"/>
    <n v="42037.588012665103"/>
    <n v="42734705.527915202"/>
    <n v="981.05690284121499"/>
    <n v="77"/>
    <n v="70"/>
    <n v="0"/>
    <n v="29"/>
    <n v="0"/>
    <n v="0"/>
    <n v="71"/>
    <n v="0"/>
    <n v="0"/>
    <n v="0"/>
    <n v="0"/>
    <n v="0"/>
    <n v="0"/>
    <n v="0"/>
    <n v="2"/>
    <n v="1.9"/>
    <n v="0.09"/>
    <n v="2.3571428571428501"/>
    <n v="0.198171428571429"/>
    <n v="0.53549999999999998"/>
    <n v="0.36683571428571399"/>
    <x v="0"/>
    <m/>
    <m/>
    <x v="0"/>
    <s v="May-25 - Jun- 8, 13 days"/>
    <n v="0.13912080900000001"/>
    <n v="0.13700000000000001"/>
    <n v="1.524437E-2"/>
    <n v="3.5000000000000003E-2"/>
    <n v="0.26300000000000001"/>
    <n v="0.23899999999999999"/>
    <n v="7.8E-2"/>
    <n v="0.115"/>
    <n v="1.7445255470000001"/>
    <n v="0.56934306599999995"/>
    <n v="0.14102099800000001"/>
    <n v="0.26200000000000001"/>
    <n v="0.14000000000000001"/>
    <n v="3.9E-2"/>
    <n v="0.13470046099999999"/>
    <n v="0.26300000000000001"/>
    <n v="0.13200000000000001"/>
    <n v="3.5000000000000003E-2"/>
  </r>
  <r>
    <s v="K01-12032-2"/>
    <s v="K01P11"/>
    <n v="48"/>
    <m/>
    <m/>
    <n v="12032"/>
    <s v="K01"/>
    <n v="1"/>
    <n v="0"/>
    <s v="LAGUNA NIGUEL"/>
    <s v="SOUTH"/>
    <s v="Dana Point"/>
    <n v="15117.294468751101"/>
    <n v="5525448.9897399396"/>
    <n v="126.847249927589"/>
    <n v="71"/>
    <n v="71"/>
    <n v="0"/>
    <n v="0"/>
    <n v="0"/>
    <n v="0"/>
    <n v="100"/>
    <n v="0"/>
    <n v="0"/>
    <n v="0"/>
    <n v="0"/>
    <n v="0"/>
    <n v="0"/>
    <n v="0"/>
    <n v="3"/>
    <n v="1"/>
    <n v="6.6666666666666999E-2"/>
    <n v="1.56666666666666"/>
    <n v="1.9890000000000001E-2"/>
    <n v="0.14280000000000001"/>
    <n v="6.9529999999999995E-2"/>
    <x v="2"/>
    <s v="Flowing"/>
    <s v="Flowing"/>
    <x v="3"/>
    <s v="Aug- 3 - Aug-17, 13 days"/>
    <n v="0.185703272"/>
    <n v="0.157"/>
    <n v="0.15456524499999999"/>
    <n v="3.9E-2"/>
    <n v="1.17"/>
    <n v="0.88500000000000001"/>
    <n v="8.3000000000000004E-2"/>
    <n v="0.112"/>
    <n v="5.6369426750000002"/>
    <n v="0.52866241999999997"/>
    <n v="0.182179864"/>
    <n v="1.08"/>
    <n v="0.154"/>
    <n v="3.9E-2"/>
    <n v="0.19423958299999999"/>
    <n v="1.17"/>
    <n v="0.16400000000000001"/>
    <n v="7.5999999999999998E-2"/>
  </r>
  <r>
    <s v="L03-691-1"/>
    <s v="L03P09"/>
    <n v="90"/>
    <m/>
    <m/>
    <n v="691"/>
    <s v="L03"/>
    <n v="1"/>
    <n v="0"/>
    <s v="MISSION VIEJO"/>
    <s v="SOUTH"/>
    <s v="San Juan Creek"/>
    <n v="31614.636778074499"/>
    <n v="22011012.966371801"/>
    <n v="505.30490247747002"/>
    <n v="72"/>
    <n v="68"/>
    <n v="0"/>
    <n v="0"/>
    <n v="0"/>
    <n v="0"/>
    <n v="0"/>
    <n v="0"/>
    <n v="0"/>
    <n v="100"/>
    <n v="0"/>
    <n v="0"/>
    <n v="0"/>
    <n v="0"/>
    <n v="1"/>
    <n v="1.4"/>
    <n v="0.1"/>
    <n v="3"/>
    <n v="0.35699999999999998"/>
    <n v="0.35699999999999998"/>
    <n v="0.35699999999999998"/>
    <x v="2"/>
    <s v="Flowing"/>
    <s v="Flowing"/>
    <x v="1"/>
    <s v="Jun-15 - Jun-29, 13 days"/>
    <n v="0.20541395600000001"/>
    <n v="0.191"/>
    <n v="7.0170284999999999E-2"/>
    <n v="5.8000000000000003E-2"/>
    <n v="0.60899999999999999"/>
    <n v="0.34100000000000003"/>
    <n v="9.2999999999999999E-2"/>
    <n v="0.27800000000000002"/>
    <n v="1.7853403139999999"/>
    <n v="0.48691099500000001"/>
    <n v="0.21042295699999999"/>
    <n v="0.60899999999999999"/>
    <n v="0.193"/>
    <n v="5.8000000000000003E-2"/>
    <n v="0.19291319400000001"/>
    <n v="0.377"/>
    <n v="0.185"/>
    <n v="6.6000000000000003E-2"/>
  </r>
  <r>
    <s v="M02-085-2"/>
    <m/>
    <n v="36"/>
    <m/>
    <m/>
    <n v="85"/>
    <s v="M02"/>
    <n v="1"/>
    <n v="0"/>
    <s v="SAN CLEMENTE"/>
    <s v="SOUTH"/>
    <s v="San Clemente"/>
    <n v="12816.403674247"/>
    <n v="8706229.2917328607"/>
    <n v="199.86814554726499"/>
    <n v="65"/>
    <n v="1"/>
    <n v="0"/>
    <n v="0"/>
    <n v="0"/>
    <n v="0"/>
    <n v="0"/>
    <n v="0"/>
    <n v="0"/>
    <n v="0"/>
    <n v="0"/>
    <n v="0"/>
    <n v="100"/>
    <n v="0"/>
    <m/>
    <m/>
    <m/>
    <m/>
    <m/>
    <m/>
    <m/>
    <x v="0"/>
    <m/>
    <m/>
    <x v="0"/>
    <s v="Jul-15 - Jul-29, 13 days"/>
    <n v="0.23772325899999999"/>
    <n v="0.19500000000000001"/>
    <n v="0.17971846499999999"/>
    <n v="0"/>
    <n v="0.83399999999999996"/>
    <n v="0.57699999999999996"/>
    <n v="5.6000000000000001E-2"/>
    <n v="0.14599999999999999"/>
    <n v="2.9589743589999999"/>
    <n v="0.28717948700000001"/>
    <n v="0.24573542000000001"/>
    <n v="0.70699999999999996"/>
    <n v="0.20200000000000001"/>
    <n v="0"/>
    <n v="0.21816579899999999"/>
    <n v="0.83399999999999996"/>
    <n v="0.17150000000000001"/>
    <n v="8.9999999999999993E-3"/>
  </r>
  <r>
    <s v="L03-316-3"/>
    <s v="L03P12"/>
    <n v="78"/>
    <m/>
    <m/>
    <n v="316"/>
    <s v="L03"/>
    <n v="1"/>
    <n v="0"/>
    <s v="MISSION VIEJO"/>
    <s v="SOUTH"/>
    <s v="San Juan Creek"/>
    <n v="24762.641737826401"/>
    <n v="18434175.733324099"/>
    <n v="423.191762478675"/>
    <n v="89"/>
    <n v="82"/>
    <n v="0"/>
    <n v="0"/>
    <n v="0"/>
    <n v="0"/>
    <n v="0"/>
    <n v="0"/>
    <n v="0"/>
    <n v="100"/>
    <n v="0"/>
    <n v="0"/>
    <n v="0"/>
    <n v="0"/>
    <n v="3"/>
    <n v="0.96666666666666701"/>
    <n v="0.09"/>
    <n v="6"/>
    <n v="0.33915000000000001"/>
    <n v="0.56100000000000005"/>
    <n v="0.44455"/>
    <x v="1"/>
    <s v="Flowing"/>
    <s v="Flowing"/>
    <x v="3"/>
    <s v="Jun-16 - Jun-30, 13 days"/>
    <n v="0.20561653799999999"/>
    <n v="0.20300000000000001"/>
    <n v="1.2725327E-2"/>
    <n v="8.5999999999999993E-2"/>
    <n v="0.41299999999999998"/>
    <n v="0.33500000000000002"/>
    <n v="0.11899999999999999"/>
    <n v="0.17"/>
    <n v="1.650246305"/>
    <n v="0.58620689699999995"/>
    <n v="0.205314626"/>
    <n v="0.41299999999999998"/>
    <n v="0.20300000000000001"/>
    <n v="0.105"/>
    <n v="0.206363715"/>
    <n v="0.41299999999999998"/>
    <n v="0.21099999999999999"/>
    <n v="8.5999999999999993E-2"/>
  </r>
  <r>
    <s v="J06-10011-1"/>
    <m/>
    <n v="96"/>
    <m/>
    <m/>
    <n v="10011"/>
    <s v="J06"/>
    <n v="1"/>
    <n v="0"/>
    <s v="ALISO VIEJO"/>
    <s v="SOUTH"/>
    <s v="Aliso"/>
    <n v="36519.460341964303"/>
    <n v="40767731.496038102"/>
    <n v="935.90125176455194"/>
    <n v="98"/>
    <n v="66"/>
    <n v="16"/>
    <n v="0"/>
    <n v="0"/>
    <n v="21"/>
    <n v="0"/>
    <n v="41"/>
    <n v="23"/>
    <n v="0"/>
    <n v="0"/>
    <n v="0"/>
    <n v="0"/>
    <n v="0"/>
    <n v="5"/>
    <n v="3.99"/>
    <n v="0.51800000000000002"/>
    <n v="0.24087613535889399"/>
    <n v="0.201889655172414"/>
    <n v="0.51"/>
    <n v="0.38633403359858498"/>
    <x v="1"/>
    <s v="Flowing"/>
    <s v="Flowing"/>
    <x v="2"/>
    <s v="Jun-24 - Jul-11, 16 days"/>
    <n v="0.209690825"/>
    <n v="0.20799999999999999"/>
    <n v="8.0634209999999994E-3"/>
    <n v="0.183"/>
    <n v="0.27200000000000002"/>
    <n v="0.24349999999999999"/>
    <n v="0.1915"/>
    <n v="0.20399999999999999"/>
    <n v="1.170673077"/>
    <n v="0.92067307700000001"/>
    <n v="0.210641825"/>
    <n v="0.26700000000000002"/>
    <n v="0.20899999999999999"/>
    <n v="0.185"/>
    <n v="0.20801446800000001"/>
    <n v="0.27200000000000002"/>
    <n v="0.20599999999999999"/>
    <n v="0.183"/>
  </r>
  <r>
    <s v="J03-9221-1"/>
    <m/>
    <n v="72"/>
    <m/>
    <m/>
    <n v="9221"/>
    <s v="J03"/>
    <n v="1"/>
    <n v="0"/>
    <s v="LAGUNA NIGUEL"/>
    <s v="SOUTH"/>
    <s v="Aliso"/>
    <n v="25366.269179262999"/>
    <n v="24642223.504762001"/>
    <n v="565.70937302729203"/>
    <n v="76"/>
    <n v="76"/>
    <n v="0"/>
    <n v="0"/>
    <n v="0"/>
    <n v="0"/>
    <n v="100"/>
    <n v="0"/>
    <n v="0"/>
    <n v="0"/>
    <n v="0"/>
    <n v="0"/>
    <n v="0"/>
    <n v="0"/>
    <n v="2"/>
    <n v="1.45"/>
    <n v="8.5000000000000006E-2"/>
    <n v="1.5"/>
    <n v="0.13600000000000001"/>
    <n v="0.1547"/>
    <n v="0.14535000000000001"/>
    <x v="0"/>
    <m/>
    <m/>
    <x v="0"/>
    <s v="Jun- 1 - Jun-14, 12 days"/>
    <n v="0.21871696299999999"/>
    <n v="0.21099999999999999"/>
    <n v="3.5282872999999999E-2"/>
    <n v="0.105"/>
    <n v="0.621"/>
    <n v="0.372"/>
    <n v="0.1235"/>
    <n v="0.151"/>
    <n v="1.7630331749999999"/>
    <n v="0.58530805699999999"/>
    <n v="0.22232927399999999"/>
    <n v="0.621"/>
    <n v="0.214"/>
    <n v="0.105"/>
    <n v="0.210683333"/>
    <n v="0.47"/>
    <n v="0.20499999999999999"/>
    <n v="0.108"/>
  </r>
  <r>
    <s v="L02-166-3"/>
    <s v="L02P26"/>
    <n v="96"/>
    <m/>
    <m/>
    <n v="166"/>
    <s v="L02"/>
    <n v="1"/>
    <n v="0"/>
    <s v="RANCHO SANTA MARGARITA"/>
    <s v="SOUTH"/>
    <s v="San Juan Creek"/>
    <n v="24156.322657897901"/>
    <n v="21541058.0010661"/>
    <n v="494.51618737946802"/>
    <n v="70"/>
    <n v="60"/>
    <n v="0"/>
    <n v="0"/>
    <n v="0"/>
    <n v="0"/>
    <n v="0"/>
    <n v="0"/>
    <n v="0"/>
    <n v="0"/>
    <n v="1"/>
    <n v="99"/>
    <n v="0"/>
    <n v="0"/>
    <n v="2"/>
    <n v="1.1000000000000001"/>
    <n v="3.5000000000000003E-2"/>
    <n v="1.03571428571428"/>
    <n v="2.1857142857142998E-2"/>
    <n v="4.7600000000000003E-2"/>
    <n v="3.4728571428570998E-2"/>
    <x v="1"/>
    <m/>
    <s v="Flowing"/>
    <x v="2"/>
    <s v="Jun- 1 - Jun-14, 12 days"/>
    <n v="0.21871696299999999"/>
    <n v="0.21099999999999999"/>
    <n v="3.5282872999999999E-2"/>
    <n v="0.105"/>
    <n v="0.621"/>
    <n v="0.372"/>
    <n v="0.1235"/>
    <n v="0.151"/>
    <n v="1.7630331749999999"/>
    <n v="0.58530805699999999"/>
    <n v="0.22232927399999999"/>
    <n v="0.621"/>
    <n v="0.214"/>
    <n v="0.105"/>
    <n v="0.210683333"/>
    <n v="0.47"/>
    <n v="0.20499999999999999"/>
    <n v="0.108"/>
  </r>
  <r>
    <s v="J06-9362-1"/>
    <m/>
    <n v="102"/>
    <m/>
    <m/>
    <n v="9362"/>
    <s v="J06"/>
    <n v="1"/>
    <n v="0"/>
    <s v="ALISO VIEJO"/>
    <s v="SOUTH"/>
    <s v="Aliso"/>
    <n v="53480.146528365702"/>
    <n v="59196619.219461299"/>
    <n v="1358.97161786172"/>
    <n v="93"/>
    <n v="65"/>
    <n v="38"/>
    <n v="0"/>
    <n v="0"/>
    <n v="18"/>
    <n v="0"/>
    <n v="28"/>
    <n v="16"/>
    <n v="0"/>
    <n v="0"/>
    <n v="0"/>
    <n v="0"/>
    <n v="0"/>
    <n v="4"/>
    <n v="4.125"/>
    <n v="0.60750000000000004"/>
    <n v="0.25515093015092999"/>
    <n v="0.353140540540541"/>
    <n v="0.62219999999999998"/>
    <n v="0.54156419357669405"/>
    <x v="1"/>
    <s v="Flowing"/>
    <s v="Flowing"/>
    <x v="2"/>
    <s v="Jun-24 - Jul-11, 16 days"/>
    <n v="0.24528101399999999"/>
    <n v="0.24199999999999999"/>
    <n v="1.3376552E-2"/>
    <n v="0.188"/>
    <n v="0.34200000000000003"/>
    <n v="0.27750000000000002"/>
    <n v="0.21"/>
    <n v="0.23899999999999999"/>
    <n v="1.1466942149999999"/>
    <n v="0.86776859500000003"/>
    <n v="0.25018101199999998"/>
    <n v="0.34200000000000003"/>
    <n v="0.247"/>
    <n v="0.193"/>
    <n v="0.236649306"/>
    <n v="0.29899999999999999"/>
    <n v="0.23499999999999999"/>
    <n v="0.188"/>
  </r>
  <r>
    <s v="L03-214-2"/>
    <m/>
    <n v="96"/>
    <m/>
    <m/>
    <n v="214"/>
    <s v="L03"/>
    <n v="1"/>
    <n v="0"/>
    <s v="MISSION VIEJO"/>
    <s v="SOUTH"/>
    <s v="San Juan Creek"/>
    <n v="90540.027556572895"/>
    <n v="97441155.754639506"/>
    <n v="2236.9481032569702"/>
    <n v="64"/>
    <n v="56"/>
    <n v="0"/>
    <n v="0"/>
    <n v="0"/>
    <n v="0"/>
    <n v="0"/>
    <n v="0"/>
    <n v="0"/>
    <n v="72"/>
    <n v="15"/>
    <n v="13"/>
    <n v="0"/>
    <n v="0"/>
    <n v="2"/>
    <n v="1.65"/>
    <n v="0.115"/>
    <n v="2.25"/>
    <n v="0.22439999999999999"/>
    <n v="0.5202"/>
    <n v="0.37230000000000002"/>
    <x v="1"/>
    <m/>
    <s v="Flowing"/>
    <x v="2"/>
    <s v="May-31 - Jun-14, 13 days"/>
    <n v="0.25687775299999999"/>
    <n v="0.251"/>
    <n v="2.2881518999999999E-2"/>
    <n v="0.105"/>
    <n v="0.47099999999999997"/>
    <n v="0.374"/>
    <n v="0.17"/>
    <n v="0.246"/>
    <n v="1.490039841"/>
    <n v="0.67729083700000003"/>
    <n v="0.266741536"/>
    <n v="0.47099999999999997"/>
    <n v="0.26400000000000001"/>
    <n v="0.155"/>
    <n v="0.22626101700000001"/>
    <n v="0.433"/>
    <n v="0.224"/>
    <n v="0.105"/>
  </r>
  <r>
    <s v="M02-062-2"/>
    <m/>
    <m/>
    <n v="14"/>
    <n v="14"/>
    <n v="52"/>
    <s v="M02"/>
    <n v="1"/>
    <n v="1"/>
    <s v="SAN CLEMENTE"/>
    <s v="SOUTH"/>
    <s v="San Clemente"/>
    <n v="115728.732090433"/>
    <n v="159076318.869425"/>
    <n v="3651.9011603689801"/>
    <n v="33"/>
    <n v="18"/>
    <n v="0"/>
    <n v="0"/>
    <n v="0"/>
    <n v="0"/>
    <n v="0"/>
    <n v="0"/>
    <n v="0"/>
    <n v="0"/>
    <n v="19"/>
    <n v="1"/>
    <n v="80"/>
    <n v="0"/>
    <n v="3"/>
    <n v="1.9666666666666599"/>
    <n v="0.18"/>
    <n v="1.2603041216486599"/>
    <n v="0.29249999999999998"/>
    <n v="0.51"/>
    <n v="0.38025510204081597"/>
    <x v="1"/>
    <s v="Flowing"/>
    <s v="Flowing"/>
    <x v="0"/>
    <s v="Jul-15 - Jul-28, 12 days"/>
    <n v="0.49822490000000003"/>
    <n v="0.48799999999999999"/>
    <n v="2.0522658999999999E-2"/>
    <n v="0.38"/>
    <n v="0.77100000000000002"/>
    <n v="0.61899999999999999"/>
    <n v="0.41099999999999998"/>
    <n v="0.46500000000000002"/>
    <n v="1.2684426230000001"/>
    <n v="0.84221311499999996"/>
    <n v="0.50361788600000001"/>
    <n v="0.77100000000000002"/>
    <n v="0.497"/>
    <n v="0.38"/>
    <n v="0.486132813"/>
    <n v="0.65500000000000003"/>
    <n v="0.47899999999999998"/>
    <n v="0.38"/>
  </r>
  <r>
    <s v="L04-266-5"/>
    <m/>
    <n v="72"/>
    <m/>
    <m/>
    <n v="266"/>
    <s v="L04"/>
    <n v="1"/>
    <n v="0"/>
    <s v="MISSION VIEJO"/>
    <s v="SOUTH"/>
    <s v="San Juan Creek"/>
    <n v="27612.909569517"/>
    <n v="25171179.6527461"/>
    <n v="577.85257312354804"/>
    <n v="98"/>
    <n v="89"/>
    <n v="0"/>
    <n v="0"/>
    <n v="0"/>
    <n v="0"/>
    <n v="0"/>
    <n v="0"/>
    <n v="0"/>
    <n v="100"/>
    <n v="0"/>
    <n v="0"/>
    <n v="0"/>
    <n v="0"/>
    <n v="3"/>
    <n v="2.2666666666666599"/>
    <n v="0.27"/>
    <n v="1.12584175084175"/>
    <n v="3.8636363636364003E-2"/>
    <n v="0.245933333333333"/>
    <n v="0.135656565656566"/>
    <x v="1"/>
    <m/>
    <m/>
    <x v="2"/>
    <s v="Jun-30 - Jul-17, 17 days"/>
    <n v="0.50537841800000005"/>
    <n v="0.51200000000000001"/>
    <n v="-1.3102226E-2"/>
    <n v="0.36199999999999999"/>
    <n v="0.75700000000000001"/>
    <n v="0.63149999999999995"/>
    <n v="0.46"/>
    <n v="0.52400000000000002"/>
    <n v="1.233398438"/>
    <n v="0.8984375"/>
    <n v="0.50583887299999997"/>
    <n v="0.71399999999999997"/>
    <n v="0.51200000000000001"/>
    <n v="0.36199999999999999"/>
    <n v="0.50441867500000004"/>
    <n v="0.75700000000000001"/>
    <n v="0.51300000000000001"/>
    <n v="0.36599999999999999"/>
  </r>
  <r>
    <s v="L04-136-1"/>
    <s v="L04P07"/>
    <n v="90"/>
    <m/>
    <m/>
    <n v="136"/>
    <s v="L04"/>
    <n v="1"/>
    <n v="0"/>
    <s v="MISSION VIEJO"/>
    <s v="SOUTH"/>
    <s v="San Juan Creek"/>
    <n v="31246.7533328227"/>
    <n v="19806302.6948018"/>
    <n v="454.69156130735701"/>
    <n v="100"/>
    <n v="61"/>
    <n v="0"/>
    <n v="0"/>
    <n v="0"/>
    <n v="0"/>
    <n v="0"/>
    <n v="0"/>
    <n v="0"/>
    <n v="100"/>
    <n v="0"/>
    <n v="0"/>
    <n v="0"/>
    <n v="0"/>
    <n v="1"/>
    <n v="2.6"/>
    <n v="0.2"/>
    <n v="1"/>
    <n v="0.442"/>
    <n v="0.442"/>
    <n v="0.442"/>
    <x v="0"/>
    <m/>
    <m/>
    <x v="0"/>
    <s v="Jun-30 - Jul-14, 13 days"/>
    <n v="0.69905064299999997"/>
    <n v="0.68500000000000005"/>
    <n v="2.0099605999999999E-2"/>
    <n v="0.32600000000000001"/>
    <n v="1.17"/>
    <n v="0.92900000000000005"/>
    <n v="0.47499999999999998"/>
    <n v="0.63900000000000001"/>
    <n v="1.3562043800000001"/>
    <n v="0.69343065699999995"/>
    <n v="0.71724068699999999"/>
    <n v="1.17"/>
    <n v="0.7"/>
    <n v="0.38700000000000001"/>
    <n v="0.65581770800000005"/>
    <n v="1.0900000000000001"/>
    <n v="0.64900000000000002"/>
    <n v="0.32600000000000001"/>
  </r>
  <r>
    <s v="I00-11468-1"/>
    <m/>
    <n v="48"/>
    <m/>
    <m/>
    <n v="11468"/>
    <s v="I00"/>
    <n v="1"/>
    <n v="0"/>
    <s v="LAGUNA BEACH"/>
    <s v="SOUTH"/>
    <s v="Laguna Coast"/>
    <n v="19812.988386831799"/>
    <n v="9728520.6902975794"/>
    <n v="223.336799908812"/>
    <n v="34"/>
    <n v="34"/>
    <n v="0"/>
    <n v="0"/>
    <n v="92"/>
    <n v="0"/>
    <n v="0"/>
    <n v="0"/>
    <n v="0"/>
    <n v="0"/>
    <n v="8"/>
    <n v="0"/>
    <n v="0"/>
    <n v="0"/>
    <n v="1"/>
    <n v="1"/>
    <n v="0.3"/>
    <n v="1"/>
    <n v="0.255"/>
    <n v="0.255"/>
    <n v="0.255"/>
    <x v="0"/>
    <m/>
    <m/>
    <x v="0"/>
    <m/>
    <m/>
    <m/>
    <m/>
    <m/>
    <m/>
    <m/>
    <m/>
    <m/>
    <m/>
    <m/>
    <m/>
    <m/>
    <m/>
    <m/>
    <m/>
    <m/>
    <m/>
    <m/>
  </r>
  <r>
    <s v="I01-11010-1"/>
    <m/>
    <n v="48"/>
    <m/>
    <m/>
    <n v="11010"/>
    <s v="I01"/>
    <n v="1"/>
    <n v="0"/>
    <s v="LAGUNA BEACH"/>
    <s v="SOUTH"/>
    <s v="Laguna Coast"/>
    <n v="3279.87662228108"/>
    <n v="529212.09289093001"/>
    <n v="12.1490758011319"/>
    <n v="100"/>
    <n v="7"/>
    <n v="0"/>
    <n v="0"/>
    <n v="100"/>
    <n v="0"/>
    <n v="0"/>
    <n v="0"/>
    <n v="0"/>
    <n v="0"/>
    <n v="0"/>
    <n v="0"/>
    <n v="0"/>
    <n v="0"/>
    <n v="3"/>
    <n v="5.5666666666666602"/>
    <n v="2.6666666666667001E-2"/>
    <n v="0.37777777777777799"/>
    <n v="5.9500000000000004E-3"/>
    <n v="0.10199999999999999"/>
    <n v="4.9583333333333E-2"/>
    <x v="1"/>
    <s v="Flowing"/>
    <s v="Flowing"/>
    <x v="1"/>
    <m/>
    <m/>
    <m/>
    <m/>
    <m/>
    <m/>
    <m/>
    <m/>
    <m/>
    <m/>
    <m/>
    <m/>
    <m/>
    <m/>
    <m/>
    <m/>
    <m/>
    <m/>
    <m/>
  </r>
  <r>
    <s v="I01-11343-2"/>
    <m/>
    <n v="48"/>
    <m/>
    <m/>
    <n v="11343"/>
    <s v="I01"/>
    <n v="1"/>
    <n v="0"/>
    <s v="LAGUNA WOODS"/>
    <s v="SOUTH"/>
    <s v="Laguna Coast"/>
    <n v="8251.0243039655106"/>
    <n v="2039082.64114993"/>
    <n v="46.811042122592802"/>
    <n v="100"/>
    <n v="100"/>
    <n v="0"/>
    <n v="0"/>
    <n v="0"/>
    <n v="0"/>
    <n v="0"/>
    <n v="100"/>
    <n v="0"/>
    <n v="0"/>
    <n v="0"/>
    <n v="0"/>
    <n v="0"/>
    <n v="0"/>
    <n v="1"/>
    <n v="0.5"/>
    <n v="5.0000000000000001E-3"/>
    <n v="0.14285714285714299"/>
    <n v="3.0357142857100002E-4"/>
    <n v="3.0357142857100002E-4"/>
    <n v="3.0357142857100002E-4"/>
    <x v="0"/>
    <m/>
    <m/>
    <x v="0"/>
    <m/>
    <m/>
    <m/>
    <m/>
    <m/>
    <m/>
    <m/>
    <m/>
    <m/>
    <m/>
    <m/>
    <m/>
    <m/>
    <m/>
    <m/>
    <m/>
    <m/>
    <m/>
    <m/>
  </r>
  <r>
    <s v="J01-10017-1"/>
    <s v="J01TBN4"/>
    <n v="48"/>
    <m/>
    <m/>
    <n v="10017"/>
    <s v="J01"/>
    <n v="1"/>
    <n v="0"/>
    <s v="ALISO VIEJO"/>
    <s v="SOUTH"/>
    <s v="Aliso"/>
    <n v="3698.95642971489"/>
    <n v="758924.66193973296"/>
    <n v="17.4225671883021"/>
    <n v="45"/>
    <n v="2"/>
    <n v="100"/>
    <n v="0"/>
    <n v="0"/>
    <n v="0"/>
    <n v="0"/>
    <n v="0"/>
    <n v="0"/>
    <n v="0"/>
    <n v="0"/>
    <n v="0"/>
    <n v="0"/>
    <n v="0"/>
    <n v="3"/>
    <n v="1.0166666666666599"/>
    <n v="4.6666666666667002E-2"/>
    <n v="0.26984126984126999"/>
    <n v="4.3714285714289997E-3"/>
    <n v="1.6291666666666999E-2"/>
    <n v="1.1609920634921E-2"/>
    <x v="1"/>
    <s v="Flowing"/>
    <s v="Flowing"/>
    <x v="3"/>
    <m/>
    <m/>
    <m/>
    <m/>
    <m/>
    <m/>
    <m/>
    <m/>
    <m/>
    <m/>
    <m/>
    <m/>
    <m/>
    <m/>
    <m/>
    <m/>
    <m/>
    <m/>
    <m/>
  </r>
  <r>
    <s v="J01-10019-1"/>
    <s v="J01P33"/>
    <n v="42"/>
    <m/>
    <m/>
    <n v="10019"/>
    <s v="J01"/>
    <n v="1"/>
    <n v="0"/>
    <s v="ALISO VIEJO"/>
    <s v="SOUTH"/>
    <s v="Aliso"/>
    <n v="9434.4201411382492"/>
    <n v="3177215.6947509502"/>
    <n v="72.939063242515203"/>
    <n v="88"/>
    <n v="62"/>
    <n v="100"/>
    <n v="0"/>
    <n v="0"/>
    <n v="0"/>
    <n v="0"/>
    <n v="0"/>
    <n v="0"/>
    <n v="0"/>
    <n v="0"/>
    <n v="0"/>
    <n v="0"/>
    <n v="0"/>
    <n v="3"/>
    <n v="0.4"/>
    <n v="0.01"/>
    <n v="2"/>
    <n v="3.3999999999999998E-3"/>
    <n v="1.0200000000000001E-2"/>
    <n v="6.7999999999999996E-3"/>
    <x v="1"/>
    <s v="Flowing"/>
    <s v="Flowing"/>
    <x v="3"/>
    <m/>
    <m/>
    <m/>
    <m/>
    <m/>
    <m/>
    <m/>
    <m/>
    <m/>
    <m/>
    <m/>
    <m/>
    <m/>
    <m/>
    <m/>
    <m/>
    <m/>
    <m/>
    <m/>
  </r>
  <r>
    <s v="J01-9008-1"/>
    <s v="J01P30"/>
    <n v="84"/>
    <m/>
    <m/>
    <n v="9008"/>
    <s v="J01"/>
    <n v="1"/>
    <n v="0"/>
    <s v="ALISO VIEJO"/>
    <s v="SOUTH"/>
    <s v="Aliso"/>
    <n v="13937.690007036599"/>
    <n v="9216051.5395057593"/>
    <n v="211.57209036731101"/>
    <n v="81"/>
    <n v="57"/>
    <n v="100"/>
    <n v="0"/>
    <n v="0"/>
    <n v="0"/>
    <n v="0"/>
    <n v="0"/>
    <n v="0"/>
    <n v="0"/>
    <n v="0"/>
    <n v="0"/>
    <n v="0"/>
    <n v="0"/>
    <n v="3"/>
    <n v="1.6666666666666601"/>
    <n v="8.3333333333332996E-2"/>
    <n v="0.30169172932330801"/>
    <n v="1.1810526315789001E-2"/>
    <n v="5.0999999999999997E-2"/>
    <n v="3.5933270676691997E-2"/>
    <x v="1"/>
    <s v="Flowing"/>
    <s v="Flowing"/>
    <x v="3"/>
    <m/>
    <m/>
    <m/>
    <m/>
    <m/>
    <m/>
    <m/>
    <m/>
    <m/>
    <m/>
    <m/>
    <m/>
    <m/>
    <m/>
    <m/>
    <m/>
    <m/>
    <m/>
    <m/>
  </r>
  <r>
    <s v="J01-9046-1"/>
    <m/>
    <n v="24"/>
    <m/>
    <m/>
    <n v="9046"/>
    <s v="J01"/>
    <n v="1"/>
    <n v="0"/>
    <s v="LAKE FOREST"/>
    <s v="SOUTH"/>
    <s v="Aliso"/>
    <n v="6852.4601273021899"/>
    <n v="2862787.8548494698"/>
    <n v="65.720770780448206"/>
    <n v="78"/>
    <n v="78"/>
    <n v="0"/>
    <n v="0"/>
    <n v="0"/>
    <n v="0"/>
    <n v="0"/>
    <n v="0"/>
    <n v="100"/>
    <n v="0"/>
    <n v="0"/>
    <n v="0"/>
    <n v="0"/>
    <n v="0"/>
    <n v="1"/>
    <n v="0.41"/>
    <n v="0.04"/>
    <n v="1.5"/>
    <n v="2.0910000000000002E-2"/>
    <n v="2.0910000000000002E-2"/>
    <n v="2.0910000000000002E-2"/>
    <x v="0"/>
    <m/>
    <m/>
    <x v="0"/>
    <m/>
    <m/>
    <m/>
    <m/>
    <m/>
    <m/>
    <m/>
    <m/>
    <m/>
    <m/>
    <m/>
    <m/>
    <m/>
    <m/>
    <m/>
    <m/>
    <m/>
    <m/>
    <m/>
  </r>
  <r>
    <s v="J01-9066-1"/>
    <m/>
    <n v="36"/>
    <m/>
    <m/>
    <n v="9066"/>
    <s v="J01"/>
    <n v="1"/>
    <n v="0"/>
    <s v="LAKE FOREST"/>
    <s v="SOUTH"/>
    <s v="Aliso"/>
    <n v="14245.7482347801"/>
    <n v="3577210.3820237801"/>
    <n v="82.121706347250907"/>
    <n v="100"/>
    <n v="65"/>
    <n v="0"/>
    <n v="0"/>
    <n v="0"/>
    <n v="0"/>
    <n v="0"/>
    <n v="0"/>
    <n v="3"/>
    <n v="97"/>
    <n v="0"/>
    <n v="0"/>
    <n v="0"/>
    <n v="0"/>
    <n v="2"/>
    <n v="0.65"/>
    <n v="0.02"/>
    <n v="0.7"/>
    <n v="2.0400000000000001E-3"/>
    <n v="1.7850000000000001E-2"/>
    <n v="9.9450000000000007E-3"/>
    <x v="0"/>
    <m/>
    <m/>
    <x v="0"/>
    <m/>
    <m/>
    <m/>
    <m/>
    <m/>
    <m/>
    <m/>
    <m/>
    <m/>
    <m/>
    <m/>
    <m/>
    <m/>
    <m/>
    <m/>
    <m/>
    <m/>
    <m/>
    <m/>
  </r>
  <r>
    <s v="J01-9082-3"/>
    <m/>
    <n v="48"/>
    <m/>
    <m/>
    <n v="9082"/>
    <s v="J01"/>
    <n v="1"/>
    <n v="0"/>
    <s v="ALISO VIEJO"/>
    <s v="SOUTH"/>
    <s v="Aliso"/>
    <n v="10619.0299810373"/>
    <n v="5430205.8138061604"/>
    <n v="124.660760655133"/>
    <n v="84"/>
    <n v="82"/>
    <n v="98"/>
    <n v="0"/>
    <n v="0"/>
    <n v="0"/>
    <n v="0"/>
    <n v="0"/>
    <n v="0"/>
    <n v="0"/>
    <n v="2"/>
    <n v="0"/>
    <n v="0"/>
    <n v="0"/>
    <n v="1"/>
    <n v="1.05"/>
    <n v="4.4999999999999998E-2"/>
    <n v="1.8181818181818099"/>
    <n v="7.3022727272727003E-2"/>
    <n v="7.3022727272727003E-2"/>
    <n v="7.3022727272727003E-2"/>
    <x v="0"/>
    <m/>
    <m/>
    <x v="0"/>
    <m/>
    <m/>
    <m/>
    <m/>
    <m/>
    <m/>
    <m/>
    <m/>
    <m/>
    <m/>
    <m/>
    <m/>
    <m/>
    <m/>
    <m/>
    <m/>
    <m/>
    <m/>
    <m/>
  </r>
  <r>
    <s v="J01-9131-1"/>
    <s v="J01P28"/>
    <n v="96"/>
    <m/>
    <m/>
    <n v="9131"/>
    <s v="J01"/>
    <n v="1"/>
    <n v="0"/>
    <s v="ALISO VIEJO"/>
    <s v="SOUTH"/>
    <s v="Aliso"/>
    <n v="17724.618810611901"/>
    <n v="12474938.274098299"/>
    <n v="286.38606853925103"/>
    <n v="77"/>
    <n v="31"/>
    <n v="100"/>
    <n v="0"/>
    <n v="0"/>
    <n v="0"/>
    <n v="0"/>
    <n v="0"/>
    <n v="0"/>
    <n v="0"/>
    <n v="0"/>
    <n v="0"/>
    <n v="0"/>
    <n v="0"/>
    <n v="1"/>
    <n v="1.4"/>
    <n v="0.12"/>
    <n v="2"/>
    <n v="0.28560000000000002"/>
    <n v="0.28560000000000002"/>
    <n v="0.28560000000000002"/>
    <x v="0"/>
    <m/>
    <m/>
    <x v="0"/>
    <m/>
    <m/>
    <m/>
    <m/>
    <m/>
    <m/>
    <m/>
    <m/>
    <m/>
    <m/>
    <m/>
    <m/>
    <m/>
    <m/>
    <m/>
    <m/>
    <m/>
    <m/>
    <m/>
  </r>
  <r>
    <s v="J01-9144-1"/>
    <s v="J01P23"/>
    <n v="96"/>
    <m/>
    <m/>
    <n v="9144"/>
    <s v="J01"/>
    <n v="1"/>
    <n v="0"/>
    <s v="LAGUNA NIGUEL"/>
    <s v="SOUTH"/>
    <s v="Aliso"/>
    <n v="15072.759800878601"/>
    <n v="7642655.9331909399"/>
    <n v="175.45178483561901"/>
    <n v="68"/>
    <n v="35"/>
    <n v="100"/>
    <n v="0"/>
    <n v="0"/>
    <n v="0"/>
    <n v="0"/>
    <n v="0"/>
    <n v="0"/>
    <n v="0"/>
    <n v="0"/>
    <n v="0"/>
    <n v="0"/>
    <n v="0"/>
    <n v="4"/>
    <n v="0.7"/>
    <n v="1.4999999999999999E-2"/>
    <n v="0.371428571428571"/>
    <n v="8.4999999999999995E-4"/>
    <n v="1.5299999999999999E-2"/>
    <n v="4.9583333333329998E-3"/>
    <x v="1"/>
    <s v="Flowing"/>
    <s v="Flowing"/>
    <x v="3"/>
    <m/>
    <m/>
    <m/>
    <m/>
    <m/>
    <m/>
    <m/>
    <m/>
    <m/>
    <m/>
    <m/>
    <m/>
    <m/>
    <m/>
    <m/>
    <m/>
    <m/>
    <m/>
    <m/>
  </r>
  <r>
    <s v="J01-9144-4"/>
    <s v="J01P26"/>
    <n v="78"/>
    <m/>
    <m/>
    <n v="9144"/>
    <s v="J01"/>
    <n v="1"/>
    <n v="0"/>
    <s v="ALISO VIEJO"/>
    <s v="SOUTH"/>
    <s v="Aliso"/>
    <n v="19730.3538222077"/>
    <n v="8428527.0704872292"/>
    <n v="193.49295990548299"/>
    <n v="82"/>
    <n v="52"/>
    <n v="100"/>
    <n v="0"/>
    <n v="0"/>
    <n v="0"/>
    <n v="0"/>
    <n v="0"/>
    <n v="0"/>
    <n v="0"/>
    <n v="0"/>
    <n v="0"/>
    <n v="0"/>
    <n v="0"/>
    <n v="1"/>
    <n v="1.75"/>
    <n v="0.12"/>
    <n v="0.05"/>
    <n v="8.9250000000000006E-3"/>
    <n v="8.9250000000000006E-3"/>
    <n v="8.9250000000000006E-3"/>
    <x v="0"/>
    <m/>
    <m/>
    <x v="0"/>
    <m/>
    <m/>
    <m/>
    <m/>
    <m/>
    <m/>
    <m/>
    <m/>
    <m/>
    <m/>
    <m/>
    <m/>
    <m/>
    <m/>
    <m/>
    <m/>
    <m/>
    <m/>
    <m/>
  </r>
  <r>
    <s v="J01-9313-1"/>
    <m/>
    <n v="54"/>
    <m/>
    <m/>
    <n v="9313"/>
    <s v="J01"/>
    <n v="1"/>
    <n v="0"/>
    <s v="ALISO VIEJO"/>
    <s v="SOUTH"/>
    <s v="Aliso"/>
    <n v="13044.0965587887"/>
    <n v="5984108.3474733299"/>
    <n v="137.37665274898299"/>
    <n v="91"/>
    <n v="91"/>
    <n v="99"/>
    <n v="0"/>
    <n v="0"/>
    <n v="0"/>
    <n v="0"/>
    <n v="0"/>
    <n v="0"/>
    <n v="0"/>
    <n v="1"/>
    <n v="0"/>
    <n v="0"/>
    <n v="0"/>
    <n v="1"/>
    <n v="1"/>
    <n v="0.05"/>
    <n v="1"/>
    <n v="4.2500000000000003E-2"/>
    <n v="4.2500000000000003E-2"/>
    <n v="4.2500000000000003E-2"/>
    <x v="0"/>
    <m/>
    <m/>
    <x v="0"/>
    <m/>
    <m/>
    <m/>
    <m/>
    <m/>
    <m/>
    <m/>
    <m/>
    <m/>
    <m/>
    <m/>
    <m/>
    <m/>
    <m/>
    <m/>
    <m/>
    <m/>
    <m/>
    <m/>
  </r>
  <r>
    <s v="J01-9349-1"/>
    <m/>
    <n v="36"/>
    <m/>
    <m/>
    <n v="9349"/>
    <s v="J01"/>
    <n v="1"/>
    <n v="0"/>
    <s v="LAKE FOREST"/>
    <s v="SOUTH"/>
    <s v="Aliso"/>
    <n v="7585.0229518530996"/>
    <n v="3036416.5595865799"/>
    <n v="69.706749792341895"/>
    <n v="55"/>
    <n v="55"/>
    <n v="0"/>
    <n v="0"/>
    <n v="0"/>
    <n v="0"/>
    <n v="0"/>
    <n v="0"/>
    <n v="100"/>
    <n v="0"/>
    <n v="0"/>
    <n v="0"/>
    <n v="0"/>
    <n v="0"/>
    <n v="1"/>
    <n v="0.5"/>
    <n v="0.01"/>
    <n v="2"/>
    <n v="8.5000000000000006E-3"/>
    <n v="8.5000000000000006E-3"/>
    <n v="8.5000000000000006E-3"/>
    <x v="0"/>
    <m/>
    <m/>
    <x v="0"/>
    <m/>
    <m/>
    <m/>
    <m/>
    <m/>
    <m/>
    <m/>
    <m/>
    <m/>
    <m/>
    <m/>
    <m/>
    <m/>
    <m/>
    <m/>
    <m/>
    <m/>
    <m/>
    <m/>
  </r>
  <r>
    <s v="J01-9377-1"/>
    <m/>
    <n v="36"/>
    <m/>
    <m/>
    <n v="9377"/>
    <s v="J01"/>
    <n v="1"/>
    <n v="0"/>
    <s v="LAKE FOREST"/>
    <s v="SOUTH"/>
    <s v="Aliso"/>
    <n v="6237.8938662394303"/>
    <n v="1500498.79180891"/>
    <n v="34.446819727058802"/>
    <n v="50"/>
    <n v="50"/>
    <n v="0"/>
    <n v="0"/>
    <n v="0"/>
    <n v="0"/>
    <n v="0"/>
    <n v="0"/>
    <n v="98"/>
    <n v="2"/>
    <n v="0"/>
    <n v="0"/>
    <n v="0"/>
    <n v="0"/>
    <n v="1"/>
    <n v="0.3"/>
    <n v="5.0000000000000001E-3"/>
    <n v="0.02"/>
    <n v="2.55E-5"/>
    <n v="2.55E-5"/>
    <n v="2.55E-5"/>
    <x v="0"/>
    <m/>
    <m/>
    <x v="0"/>
    <m/>
    <m/>
    <m/>
    <m/>
    <m/>
    <m/>
    <m/>
    <m/>
    <m/>
    <m/>
    <m/>
    <m/>
    <m/>
    <m/>
    <m/>
    <m/>
    <m/>
    <m/>
    <m/>
  </r>
  <r>
    <s v="J01-9785-1"/>
    <m/>
    <n v="60"/>
    <m/>
    <m/>
    <n v="9785"/>
    <s v="J01"/>
    <n v="1"/>
    <n v="0"/>
    <s v="LAKE FOREST"/>
    <s v="SOUTH"/>
    <s v="Aliso"/>
    <n v="4200.6304900893701"/>
    <n v="925933.505251172"/>
    <n v="21.256574619549902"/>
    <n v="100"/>
    <n v="100"/>
    <n v="0"/>
    <n v="0"/>
    <n v="0"/>
    <n v="0"/>
    <n v="0"/>
    <n v="0"/>
    <n v="100"/>
    <n v="0"/>
    <n v="0"/>
    <n v="0"/>
    <n v="0"/>
    <n v="0"/>
    <n v="1"/>
    <n v="1"/>
    <n v="0.02"/>
    <n v="0.05"/>
    <n v="8.4999999999999995E-4"/>
    <n v="8.4999999999999995E-4"/>
    <n v="8.4999999999999995E-4"/>
    <x v="0"/>
    <m/>
    <m/>
    <x v="0"/>
    <m/>
    <m/>
    <m/>
    <m/>
    <m/>
    <m/>
    <m/>
    <m/>
    <m/>
    <m/>
    <m/>
    <m/>
    <m/>
    <m/>
    <m/>
    <m/>
    <m/>
    <m/>
    <m/>
  </r>
  <r>
    <s v="J01-9992-1"/>
    <s v="J01P27"/>
    <n v="90"/>
    <m/>
    <m/>
    <n v="9992"/>
    <s v="J01"/>
    <n v="1"/>
    <n v="0"/>
    <s v="ALISO VIEJO"/>
    <s v="SOUTH"/>
    <s v="Aliso"/>
    <n v="32526.203896617499"/>
    <n v="24125242.085381299"/>
    <n v="553.84107572984499"/>
    <n v="83"/>
    <n v="45"/>
    <n v="100"/>
    <n v="0"/>
    <n v="0"/>
    <n v="0"/>
    <n v="0"/>
    <n v="0"/>
    <n v="0"/>
    <n v="0"/>
    <n v="0"/>
    <n v="0"/>
    <n v="0"/>
    <n v="0"/>
    <n v="3"/>
    <n v="1.55"/>
    <n v="7.3333333333333001E-2"/>
    <n v="1.05"/>
    <n v="6.3750000000000001E-2"/>
    <n v="0.11475"/>
    <n v="9.758E-2"/>
    <x v="0"/>
    <m/>
    <m/>
    <x v="0"/>
    <m/>
    <m/>
    <m/>
    <m/>
    <m/>
    <m/>
    <m/>
    <m/>
    <m/>
    <m/>
    <m/>
    <m/>
    <m/>
    <m/>
    <m/>
    <m/>
    <m/>
    <m/>
    <m/>
  </r>
  <r>
    <s v="J03-9368-1"/>
    <s v="J03TBN1"/>
    <n v="48"/>
    <m/>
    <m/>
    <n v="9368"/>
    <s v="J03"/>
    <n v="1"/>
    <n v="0"/>
    <s v="LAGUNA NIGUEL"/>
    <s v="SOUTH"/>
    <s v="Aliso"/>
    <n v="12367.8105293232"/>
    <n v="4022472.2006056202"/>
    <n v="92.343543032331098"/>
    <n v="91"/>
    <n v="73"/>
    <n v="0"/>
    <n v="0"/>
    <n v="0"/>
    <n v="0"/>
    <n v="99"/>
    <n v="0"/>
    <n v="0"/>
    <n v="0"/>
    <n v="0"/>
    <n v="0"/>
    <n v="0"/>
    <n v="1"/>
    <n v="2"/>
    <n v="0.3"/>
    <n v="8.5000000000000006E-3"/>
    <n v="1.1000000000000001"/>
    <n v="1.7849999999999999E-3"/>
    <n v="3.0599999999999998E-3"/>
    <n v="2.4225000000000002E-3"/>
    <x v="1"/>
    <s v="Flowing"/>
    <s v="Flowing"/>
    <x v="3"/>
    <m/>
    <m/>
    <m/>
    <m/>
    <m/>
    <m/>
    <m/>
    <m/>
    <m/>
    <m/>
    <m/>
    <m/>
    <m/>
    <m/>
    <m/>
    <m/>
    <m/>
    <m/>
    <m/>
  </r>
  <r>
    <s v="J03-9368-2"/>
    <s v="J03TBN2"/>
    <n v="60"/>
    <m/>
    <m/>
    <n v="9368"/>
    <s v="J03"/>
    <n v="1"/>
    <n v="0"/>
    <s v="LAGUNA NIGUEL"/>
    <s v="SOUTH"/>
    <s v="Aliso"/>
    <n v="6407.3449032214703"/>
    <n v="1491107.42977236"/>
    <n v="34.231223048920299"/>
    <n v="90"/>
    <n v="90"/>
    <n v="0"/>
    <n v="0"/>
    <n v="0"/>
    <n v="0"/>
    <n v="100"/>
    <n v="0"/>
    <n v="0"/>
    <n v="0"/>
    <n v="0"/>
    <n v="0"/>
    <n v="0"/>
    <n v="0"/>
    <n v="2"/>
    <n v="0.215"/>
    <n v="1.4999999999999999E-2"/>
    <n v="1.1666666666666601"/>
    <n v="1.813333333333E-3"/>
    <n v="2.9750000000000002E-3"/>
    <n v="2.3941666666669999E-3"/>
    <x v="1"/>
    <s v="Flowing"/>
    <s v="Flowing"/>
    <x v="3"/>
    <m/>
    <m/>
    <m/>
    <m/>
    <m/>
    <m/>
    <m/>
    <m/>
    <m/>
    <m/>
    <m/>
    <m/>
    <m/>
    <m/>
    <m/>
    <m/>
    <m/>
    <m/>
    <m/>
  </r>
  <r>
    <s v="J07-9109-1"/>
    <m/>
    <n v="36"/>
    <m/>
    <m/>
    <n v="9109"/>
    <s v="J07"/>
    <n v="1"/>
    <n v="0"/>
    <s v="MISSION VIEJO"/>
    <s v="SOUTH"/>
    <s v="Aliso"/>
    <m/>
    <m/>
    <m/>
    <m/>
    <m/>
    <m/>
    <m/>
    <m/>
    <m/>
    <m/>
    <m/>
    <m/>
    <m/>
    <m/>
    <m/>
    <m/>
    <m/>
    <n v="1"/>
    <n v="0.3"/>
    <n v="0.05"/>
    <n v="0.15"/>
    <n v="1.9124999999999999E-3"/>
    <n v="1.9124999999999999E-3"/>
    <n v="1.9124999999999999E-3"/>
    <x v="0"/>
    <m/>
    <m/>
    <x v="0"/>
    <m/>
    <m/>
    <m/>
    <m/>
    <m/>
    <m/>
    <m/>
    <m/>
    <m/>
    <m/>
    <m/>
    <m/>
    <m/>
    <m/>
    <m/>
    <m/>
    <m/>
    <m/>
    <m/>
  </r>
  <r>
    <s v="J07-9109-2"/>
    <m/>
    <n v="48"/>
    <m/>
    <m/>
    <n v="9109"/>
    <s v="J07"/>
    <n v="1"/>
    <n v="0"/>
    <s v="MISSION VIEJO"/>
    <s v="SOUTH"/>
    <s v="Aliso"/>
    <n v="15823.9421951476"/>
    <n v="8912129.6553708706"/>
    <n v="204.59498221430701"/>
    <n v="60"/>
    <n v="59"/>
    <n v="0"/>
    <n v="0"/>
    <n v="0"/>
    <n v="0"/>
    <n v="0"/>
    <n v="0"/>
    <n v="2"/>
    <n v="98"/>
    <n v="0"/>
    <n v="0"/>
    <n v="0"/>
    <n v="0"/>
    <n v="2"/>
    <n v="0.65"/>
    <n v="0.26"/>
    <n v="0.42499999999999999"/>
    <n v="2.5500000000000002E-3"/>
    <n v="0.17849999999999999"/>
    <n v="9.0524999999999994E-2"/>
    <x v="3"/>
    <s v="Flowing"/>
    <s v="Flowing"/>
    <x v="3"/>
    <m/>
    <m/>
    <m/>
    <m/>
    <m/>
    <m/>
    <m/>
    <m/>
    <m/>
    <m/>
    <m/>
    <m/>
    <m/>
    <m/>
    <m/>
    <m/>
    <m/>
    <m/>
    <m/>
  </r>
  <r>
    <s v="J07-9110-1"/>
    <m/>
    <n v="36"/>
    <m/>
    <m/>
    <n v="9110"/>
    <s v="J07"/>
    <n v="1"/>
    <n v="0"/>
    <s v="MISSION VIEJO"/>
    <s v="SOUTH"/>
    <s v="Aliso"/>
    <n v="9898.5179013252291"/>
    <n v="4448267.6441821102"/>
    <n v="102.118491846385"/>
    <n v="84"/>
    <n v="84"/>
    <n v="0"/>
    <n v="0"/>
    <n v="0"/>
    <n v="0"/>
    <n v="0"/>
    <n v="0"/>
    <n v="0"/>
    <n v="100"/>
    <n v="0"/>
    <n v="0"/>
    <n v="0"/>
    <n v="0"/>
    <n v="1"/>
    <n v="0.3"/>
    <n v="5.0000000000000001E-3"/>
    <n v="0.22222222222222199"/>
    <n v="2.8333333333300002E-4"/>
    <n v="2.8333333333300002E-4"/>
    <n v="2.8333333333300002E-4"/>
    <x v="0"/>
    <m/>
    <m/>
    <x v="0"/>
    <m/>
    <m/>
    <m/>
    <m/>
    <m/>
    <m/>
    <m/>
    <m/>
    <m/>
    <m/>
    <m/>
    <m/>
    <m/>
    <m/>
    <m/>
    <m/>
    <m/>
    <m/>
    <m/>
  </r>
  <r>
    <s v="J07-9110-2"/>
    <m/>
    <n v="48"/>
    <m/>
    <m/>
    <n v="9110"/>
    <s v="J07"/>
    <n v="1"/>
    <n v="0"/>
    <s v="MISSION VIEJO"/>
    <s v="SOUTH"/>
    <s v="Aliso"/>
    <n v="11730.484596320601"/>
    <n v="5166946.30801138"/>
    <n v="118.617135170693"/>
    <n v="59"/>
    <n v="49"/>
    <n v="0"/>
    <n v="0"/>
    <n v="0"/>
    <n v="0"/>
    <n v="0"/>
    <n v="0"/>
    <n v="0"/>
    <n v="100"/>
    <n v="0"/>
    <n v="0"/>
    <n v="0"/>
    <n v="0"/>
    <n v="3"/>
    <n v="0.35"/>
    <n v="8.3333333333330002E-3"/>
    <n v="0.46666666666666701"/>
    <n v="7.4375000000000005E-4"/>
    <n v="1.3600000000000001E-3"/>
    <n v="1.1262500000000001E-3"/>
    <x v="1"/>
    <s v="Flowing"/>
    <s v="Flowing"/>
    <x v="3"/>
    <m/>
    <m/>
    <m/>
    <m/>
    <m/>
    <m/>
    <m/>
    <m/>
    <m/>
    <m/>
    <m/>
    <m/>
    <m/>
    <m/>
    <m/>
    <m/>
    <m/>
    <m/>
    <m/>
  </r>
  <r>
    <s v="J07-9110-3"/>
    <m/>
    <n v="36"/>
    <m/>
    <m/>
    <n v="9110"/>
    <s v="J07"/>
    <n v="1"/>
    <n v="0"/>
    <s v="MISSION VIEJO"/>
    <s v="SOUTH"/>
    <s v="Aliso"/>
    <n v="9456.6566248229101"/>
    <n v="1206610.6159207299"/>
    <n v="27.700054538044501"/>
    <n v="76"/>
    <n v="76"/>
    <n v="0"/>
    <n v="0"/>
    <n v="0"/>
    <n v="0"/>
    <n v="0"/>
    <n v="0"/>
    <n v="0"/>
    <n v="100"/>
    <n v="0"/>
    <n v="0"/>
    <n v="0"/>
    <n v="0"/>
    <n v="2"/>
    <n v="0.65"/>
    <n v="8.7499999999999994E-2"/>
    <n v="0.19166666666666701"/>
    <n v="2.1249999999999999E-4"/>
    <n v="2.1193333333332998E-2"/>
    <n v="1.0702916666666999E-2"/>
    <x v="1"/>
    <s v="Flowing"/>
    <s v="Flowing"/>
    <x v="3"/>
    <m/>
    <m/>
    <m/>
    <m/>
    <m/>
    <m/>
    <m/>
    <m/>
    <m/>
    <m/>
    <m/>
    <m/>
    <m/>
    <m/>
    <m/>
    <m/>
    <m/>
    <m/>
    <m/>
  </r>
  <r>
    <s v="K01-12036-10"/>
    <m/>
    <n v="54"/>
    <m/>
    <m/>
    <n v="12036"/>
    <s v="K01"/>
    <n v="1"/>
    <n v="0"/>
    <s v="LAGUNA NIGUEL"/>
    <s v="SOUTH"/>
    <s v="Dana Point"/>
    <n v="22387.540402897899"/>
    <n v="8074763.9375076303"/>
    <n v="185.37165055531901"/>
    <n v="72"/>
    <n v="72"/>
    <n v="0"/>
    <n v="0"/>
    <n v="0"/>
    <n v="0"/>
    <n v="100"/>
    <n v="0"/>
    <n v="0"/>
    <n v="0"/>
    <n v="0"/>
    <n v="0"/>
    <n v="0"/>
    <n v="0"/>
    <n v="2"/>
    <n v="0.76"/>
    <n v="0.03"/>
    <n v="0.30788153579008298"/>
    <n v="1.9124999999999999E-3"/>
    <n v="5.2643256801079997E-3"/>
    <n v="3.5884128400539999E-3"/>
    <x v="0"/>
    <m/>
    <m/>
    <x v="0"/>
    <m/>
    <m/>
    <m/>
    <m/>
    <m/>
    <m/>
    <m/>
    <m/>
    <m/>
    <m/>
    <m/>
    <m/>
    <m/>
    <m/>
    <m/>
    <m/>
    <m/>
    <m/>
    <m/>
  </r>
  <r>
    <s v="K01-12036-5"/>
    <m/>
    <n v="42"/>
    <m/>
    <m/>
    <n v="12036"/>
    <s v="K01"/>
    <n v="1"/>
    <n v="0"/>
    <s v="LAGUNA NIGUEL"/>
    <s v="SOUTH"/>
    <s v="Dana Point"/>
    <n v="6831.0000486383196"/>
    <n v="1222998.1249955599"/>
    <n v="28.076261152776699"/>
    <n v="82"/>
    <n v="82"/>
    <n v="0"/>
    <n v="0"/>
    <n v="0"/>
    <n v="0"/>
    <n v="100"/>
    <n v="0"/>
    <n v="0"/>
    <n v="0"/>
    <n v="0"/>
    <n v="0"/>
    <n v="0"/>
    <n v="0"/>
    <n v="3"/>
    <n v="2.2333333333333298"/>
    <n v="0.08"/>
    <n v="0.53888888888888897"/>
    <n v="3.4424999999999997E-2"/>
    <n v="6.6640000000000005E-2"/>
    <n v="5.1821666666667002E-2"/>
    <x v="0"/>
    <m/>
    <m/>
    <x v="0"/>
    <m/>
    <m/>
    <m/>
    <m/>
    <m/>
    <m/>
    <m/>
    <m/>
    <m/>
    <m/>
    <m/>
    <m/>
    <m/>
    <m/>
    <m/>
    <m/>
    <m/>
    <m/>
    <m/>
  </r>
  <r>
    <s v="K01-12138-1"/>
    <s v="K01TBN1"/>
    <n v="42"/>
    <m/>
    <m/>
    <n v="12138"/>
    <s v="K01"/>
    <n v="1"/>
    <n v="0"/>
    <s v="LAGUNA NIGUEL"/>
    <s v="SOUTH"/>
    <s v="Dana Point"/>
    <n v="12361.4369690968"/>
    <n v="3956637.4918455398"/>
    <n v="90.832181372580806"/>
    <n v="96"/>
    <n v="96"/>
    <n v="0"/>
    <n v="0"/>
    <n v="0"/>
    <n v="0"/>
    <n v="100"/>
    <n v="0"/>
    <n v="0"/>
    <n v="0"/>
    <n v="0"/>
    <n v="0"/>
    <n v="0"/>
    <n v="0"/>
    <n v="2"/>
    <n v="0.375"/>
    <n v="1.2500000000000001E-2"/>
    <n v="1.3333333333333299"/>
    <n v="1.4875000000000001E-3"/>
    <n v="1.1333333333332999E-2"/>
    <n v="6.4104166666669998E-3"/>
    <x v="0"/>
    <m/>
    <m/>
    <x v="0"/>
    <m/>
    <m/>
    <m/>
    <m/>
    <m/>
    <m/>
    <m/>
    <m/>
    <m/>
    <m/>
    <m/>
    <m/>
    <m/>
    <m/>
    <m/>
    <m/>
    <m/>
    <m/>
    <m/>
  </r>
  <r>
    <s v="K01-12156-4"/>
    <m/>
    <n v="192"/>
    <m/>
    <m/>
    <n v="12156"/>
    <s v="K01"/>
    <n v="1"/>
    <n v="2"/>
    <s v="LAGUNA NIGUEL"/>
    <s v="SOUTH"/>
    <s v="Dana Point"/>
    <n v="38968.786771960898"/>
    <n v="60942158.232183099"/>
    <n v="1399.04380454125"/>
    <n v="61"/>
    <n v="58"/>
    <n v="0"/>
    <n v="0"/>
    <n v="0"/>
    <n v="0"/>
    <n v="99"/>
    <n v="0"/>
    <n v="0"/>
    <n v="0"/>
    <n v="0"/>
    <n v="0"/>
    <n v="0"/>
    <n v="1"/>
    <n v="1"/>
    <n v="2"/>
    <n v="0.1"/>
    <n v="2.4691358024691299"/>
    <n v="0.41975308641975301"/>
    <n v="0.41975308641975301"/>
    <n v="0.41975308641975301"/>
    <x v="0"/>
    <m/>
    <m/>
    <x v="0"/>
    <m/>
    <m/>
    <m/>
    <m/>
    <m/>
    <m/>
    <m/>
    <m/>
    <m/>
    <m/>
    <m/>
    <m/>
    <m/>
    <m/>
    <m/>
    <m/>
    <m/>
    <m/>
    <m/>
  </r>
  <r>
    <s v="L00-12094-1"/>
    <s v="L00P01"/>
    <n v="66"/>
    <m/>
    <m/>
    <n v="12094"/>
    <s v="L00"/>
    <n v="1"/>
    <n v="0"/>
    <s v="DANA POINT"/>
    <s v="SOUTH"/>
    <s v="San Juan Creek"/>
    <n v="13401.232118039899"/>
    <n v="5684515.4946329501"/>
    <n v="130.498925789358"/>
    <n v="100"/>
    <n v="70"/>
    <n v="0"/>
    <n v="100"/>
    <n v="0"/>
    <n v="0"/>
    <n v="0"/>
    <n v="0"/>
    <n v="0"/>
    <n v="0"/>
    <n v="0"/>
    <n v="0"/>
    <n v="0"/>
    <n v="0"/>
    <n v="3"/>
    <n v="0.39"/>
    <n v="4.3333333333330001E-3"/>
    <n v="1.6666666666666601"/>
    <n v="5.44E-4"/>
    <n v="8.5000000000000006E-3"/>
    <n v="3.2130000000000001E-3"/>
    <x v="3"/>
    <m/>
    <s v="Pooled or Ponded"/>
    <x v="2"/>
    <m/>
    <m/>
    <m/>
    <m/>
    <m/>
    <m/>
    <m/>
    <m/>
    <m/>
    <m/>
    <m/>
    <m/>
    <m/>
    <m/>
    <m/>
    <m/>
    <m/>
    <m/>
    <m/>
  </r>
  <r>
    <s v="L01-125-2"/>
    <m/>
    <n v="45"/>
    <m/>
    <m/>
    <n v="125"/>
    <s v="L01"/>
    <n v="1"/>
    <n v="0"/>
    <s v="RANCHO SANTA MARGARITA"/>
    <s v="SOUTH"/>
    <s v="San Juan Creek"/>
    <n v="12465.159821270599"/>
    <n v="4934047.0104237199"/>
    <n v="113.27048633474899"/>
    <n v="10"/>
    <n v="9"/>
    <n v="0"/>
    <n v="0"/>
    <n v="0"/>
    <n v="0"/>
    <n v="0"/>
    <n v="0"/>
    <n v="0"/>
    <n v="0"/>
    <n v="52"/>
    <n v="48"/>
    <n v="0"/>
    <n v="0"/>
    <n v="1"/>
    <n v="0.3"/>
    <n v="0.7"/>
    <n v="0.2"/>
    <n v="3.5700000000000003E-2"/>
    <n v="3.5700000000000003E-2"/>
    <n v="3.5700000000000003E-2"/>
    <x v="0"/>
    <m/>
    <m/>
    <x v="0"/>
    <m/>
    <m/>
    <m/>
    <m/>
    <m/>
    <m/>
    <m/>
    <m/>
    <m/>
    <m/>
    <m/>
    <m/>
    <m/>
    <m/>
    <m/>
    <m/>
    <m/>
    <m/>
    <m/>
  </r>
  <r>
    <s v="L01-218-2"/>
    <m/>
    <n v="36"/>
    <m/>
    <m/>
    <n v="218"/>
    <s v="L01"/>
    <n v="1"/>
    <n v="0"/>
    <s v="RANCHO SANTA MARGARITA"/>
    <s v="SOUTH"/>
    <s v="San Juan Creek"/>
    <n v="5492.3137018510897"/>
    <n v="1418445.20898326"/>
    <n v="32.563122791757003"/>
    <n v="79"/>
    <n v="79"/>
    <n v="0"/>
    <n v="0"/>
    <n v="0"/>
    <n v="0"/>
    <n v="0"/>
    <n v="0"/>
    <n v="0"/>
    <n v="0"/>
    <n v="0"/>
    <n v="100"/>
    <n v="0"/>
    <n v="0"/>
    <n v="1"/>
    <n v="0.3"/>
    <n v="0.01"/>
    <n v="2"/>
    <n v="5.1000000000000004E-3"/>
    <n v="5.1000000000000004E-3"/>
    <n v="5.1000000000000004E-3"/>
    <x v="0"/>
    <m/>
    <m/>
    <x v="0"/>
    <m/>
    <m/>
    <m/>
    <m/>
    <m/>
    <m/>
    <m/>
    <m/>
    <m/>
    <m/>
    <m/>
    <m/>
    <m/>
    <m/>
    <m/>
    <m/>
    <m/>
    <m/>
    <m/>
  </r>
  <r>
    <s v="L01-223-1"/>
    <s v="L08TBN1"/>
    <n v="60"/>
    <m/>
    <m/>
    <n v="223"/>
    <s v="L01"/>
    <n v="1"/>
    <n v="0"/>
    <s v="RANCHO SANTA MARGARITA"/>
    <s v="SOUTH"/>
    <s v="San Juan Creek"/>
    <n v="13991.243002029199"/>
    <n v="5962437.9382879501"/>
    <n v="136.87916705776101"/>
    <n v="52"/>
    <n v="52"/>
    <n v="0"/>
    <n v="0"/>
    <n v="0"/>
    <n v="0"/>
    <n v="0"/>
    <n v="0"/>
    <n v="0"/>
    <n v="0"/>
    <n v="4"/>
    <n v="96"/>
    <n v="0"/>
    <n v="0"/>
    <n v="1"/>
    <n v="0.2"/>
    <n v="0.02"/>
    <n v="1"/>
    <n v="3.3999999999999998E-3"/>
    <n v="3.3999999999999998E-3"/>
    <n v="3.3999999999999998E-3"/>
    <x v="0"/>
    <m/>
    <m/>
    <x v="0"/>
    <m/>
    <m/>
    <m/>
    <m/>
    <m/>
    <m/>
    <m/>
    <m/>
    <m/>
    <m/>
    <m/>
    <m/>
    <m/>
    <m/>
    <m/>
    <m/>
    <m/>
    <m/>
    <m/>
  </r>
  <r>
    <s v="L01-261-1"/>
    <s v="L07"/>
    <n v="66"/>
    <m/>
    <m/>
    <n v="261"/>
    <s v="L01"/>
    <n v="1"/>
    <n v="0"/>
    <s v="ORANGE CO"/>
    <s v="SOUTH"/>
    <s v="San Juan Creek"/>
    <n v="13724.701221622399"/>
    <n v="6518239.4396117097"/>
    <n v="149.63865358626899"/>
    <n v="55"/>
    <n v="55"/>
    <n v="0"/>
    <n v="0"/>
    <n v="0"/>
    <n v="0"/>
    <n v="0"/>
    <n v="0"/>
    <n v="0"/>
    <n v="0"/>
    <n v="100"/>
    <n v="0"/>
    <n v="0"/>
    <n v="0"/>
    <n v="1"/>
    <n v="0.94"/>
    <n v="0.01"/>
    <n v="0.6"/>
    <n v="4.7939999999999997E-3"/>
    <n v="4.7939999999999997E-3"/>
    <n v="4.7939999999999997E-3"/>
    <x v="0"/>
    <m/>
    <m/>
    <x v="0"/>
    <m/>
    <m/>
    <m/>
    <m/>
    <m/>
    <m/>
    <m/>
    <m/>
    <m/>
    <m/>
    <m/>
    <m/>
    <m/>
    <m/>
    <m/>
    <m/>
    <m/>
    <m/>
    <m/>
  </r>
  <r>
    <s v="L01-340-1"/>
    <m/>
    <n v="90"/>
    <m/>
    <m/>
    <n v="340"/>
    <s v="L01"/>
    <n v="1"/>
    <n v="0"/>
    <s v="ORANGE CO"/>
    <s v="SOUTH"/>
    <s v="San Juan Creek"/>
    <n v="14406.755887253101"/>
    <n v="7382165.0242005"/>
    <n v="169.471717786239"/>
    <n v="66"/>
    <n v="66"/>
    <n v="0"/>
    <n v="0"/>
    <n v="0"/>
    <n v="0"/>
    <n v="0"/>
    <n v="0"/>
    <n v="0"/>
    <n v="0"/>
    <n v="99"/>
    <n v="1"/>
    <n v="0"/>
    <n v="0"/>
    <n v="2"/>
    <n v="0.65"/>
    <n v="4.4999999999999998E-2"/>
    <n v="1.75"/>
    <n v="3.8249999999999999E-2"/>
    <n v="4.0800000000000003E-2"/>
    <n v="3.9524999999999998E-2"/>
    <x v="0"/>
    <m/>
    <m/>
    <x v="3"/>
    <m/>
    <m/>
    <m/>
    <m/>
    <m/>
    <m/>
    <m/>
    <m/>
    <m/>
    <m/>
    <m/>
    <m/>
    <m/>
    <m/>
    <m/>
    <m/>
    <m/>
    <m/>
    <m/>
  </r>
  <r>
    <s v="L01-372-1"/>
    <m/>
    <n v="42"/>
    <m/>
    <m/>
    <n v="372"/>
    <s v="L01"/>
    <n v="1"/>
    <n v="0"/>
    <s v="ORANGE CO"/>
    <s v="SOUTH"/>
    <s v="San Juan Creek"/>
    <n v="11448.839578814899"/>
    <n v="5123289.6766964504"/>
    <n v="117.61491369807"/>
    <n v="57"/>
    <n v="57"/>
    <n v="0"/>
    <n v="0"/>
    <n v="0"/>
    <n v="0"/>
    <n v="0"/>
    <n v="0"/>
    <n v="0"/>
    <n v="0"/>
    <n v="100"/>
    <n v="0"/>
    <n v="0"/>
    <n v="0"/>
    <n v="1"/>
    <n v="0.64"/>
    <n v="0.02"/>
    <n v="0.75"/>
    <n v="8.1600000000000006E-3"/>
    <n v="8.1600000000000006E-3"/>
    <n v="8.1600000000000006E-3"/>
    <x v="0"/>
    <m/>
    <m/>
    <x v="0"/>
    <m/>
    <m/>
    <m/>
    <m/>
    <m/>
    <m/>
    <m/>
    <m/>
    <m/>
    <m/>
    <m/>
    <m/>
    <m/>
    <m/>
    <m/>
    <m/>
    <m/>
    <m/>
    <m/>
  </r>
  <r>
    <s v="L01-404-1"/>
    <m/>
    <n v="72"/>
    <m/>
    <m/>
    <n v="404"/>
    <s v="L01"/>
    <n v="1"/>
    <n v="0"/>
    <s v="ORANGE CO"/>
    <s v="SOUTH"/>
    <s v="San Juan Creek"/>
    <n v="16322.2209226676"/>
    <n v="10358119.365329999"/>
    <n v="237.79044170954401"/>
    <n v="49"/>
    <n v="49"/>
    <n v="0"/>
    <n v="0"/>
    <n v="0"/>
    <n v="0"/>
    <n v="0"/>
    <n v="0"/>
    <n v="0"/>
    <n v="0"/>
    <n v="100"/>
    <n v="0"/>
    <n v="0"/>
    <n v="0"/>
    <n v="2"/>
    <n v="0.5"/>
    <n v="3.5000000000000003E-2"/>
    <n v="2"/>
    <n v="5.1000000000000004E-3"/>
    <n v="6.5024999999999999E-2"/>
    <n v="3.5062500000000003E-2"/>
    <x v="1"/>
    <s v="Flowing"/>
    <s v="Flowing"/>
    <x v="3"/>
    <m/>
    <m/>
    <m/>
    <m/>
    <m/>
    <m/>
    <m/>
    <m/>
    <m/>
    <m/>
    <m/>
    <m/>
    <m/>
    <m/>
    <m/>
    <m/>
    <m/>
    <m/>
    <m/>
  </r>
  <r>
    <s v="L01-618-5"/>
    <s v="L01S09"/>
    <m/>
    <n v="53"/>
    <n v="120"/>
    <n v="618"/>
    <s v="L01"/>
    <n v="1"/>
    <n v="1"/>
    <s v="SAN JUAN CAPISTRANO"/>
    <s v="SOUTH"/>
    <s v="San Juan Creek"/>
    <n v="27515.828511582698"/>
    <n v="17119285.968831599"/>
    <n v="393.00595298273799"/>
    <n v="30"/>
    <n v="29"/>
    <n v="0"/>
    <n v="0"/>
    <n v="0"/>
    <n v="0"/>
    <n v="0"/>
    <n v="0"/>
    <n v="0"/>
    <n v="0"/>
    <n v="0"/>
    <n v="0"/>
    <n v="0"/>
    <n v="100"/>
    <n v="2"/>
    <n v="0.32500000000000001"/>
    <n v="1.4999999999999999E-2"/>
    <n v="0.66666666666666696"/>
    <n v="1.9124999999999999E-3"/>
    <n v="2.5500000000000002E-3"/>
    <n v="2.2312500000000002E-3"/>
    <x v="3"/>
    <s v="Dry"/>
    <s v="Dry"/>
    <x v="3"/>
    <m/>
    <m/>
    <m/>
    <m/>
    <m/>
    <m/>
    <m/>
    <m/>
    <m/>
    <m/>
    <m/>
    <m/>
    <m/>
    <m/>
    <m/>
    <m/>
    <m/>
    <m/>
    <m/>
  </r>
  <r>
    <s v="L01-724-1"/>
    <s v="L01S01"/>
    <m/>
    <n v="4"/>
    <n v="7"/>
    <n v="724"/>
    <s v="L01"/>
    <n v="1"/>
    <n v="1"/>
    <s v="SAN JUAN CAPISTRANO"/>
    <s v="SOUTH"/>
    <s v="San Juan Creek"/>
    <n v="18109.472112442701"/>
    <n v="12124199.9214973"/>
    <n v="278.33419880808901"/>
    <n v="89"/>
    <n v="85"/>
    <n v="0"/>
    <n v="37"/>
    <n v="0"/>
    <n v="0"/>
    <n v="24"/>
    <n v="0"/>
    <n v="0"/>
    <n v="0"/>
    <n v="0"/>
    <n v="0"/>
    <n v="0"/>
    <n v="39"/>
    <n v="2"/>
    <n v="1.85"/>
    <n v="0.02"/>
    <n v="1.25"/>
    <n v="2.7199999999999998E-2"/>
    <n v="5.355E-2"/>
    <n v="4.0375000000000001E-2"/>
    <x v="3"/>
    <s v="Pooled or Ponded"/>
    <s v="Pooled or Ponded"/>
    <x v="1"/>
    <m/>
    <m/>
    <m/>
    <m/>
    <m/>
    <m/>
    <m/>
    <m/>
    <m/>
    <m/>
    <m/>
    <m/>
    <m/>
    <m/>
    <m/>
    <m/>
    <m/>
    <m/>
    <m/>
  </r>
  <r>
    <s v="L01-727-1"/>
    <s v="L01S04"/>
    <n v="96"/>
    <m/>
    <m/>
    <n v="727"/>
    <s v="L01"/>
    <n v="1"/>
    <n v="0"/>
    <s v="DANA POINT"/>
    <s v="SOUTH"/>
    <s v="San Juan Creek"/>
    <n v="27645.182571798199"/>
    <n v="18800779.801328599"/>
    <n v="431.607860052825"/>
    <n v="84"/>
    <n v="81"/>
    <n v="0"/>
    <n v="99"/>
    <n v="0"/>
    <n v="0"/>
    <n v="1"/>
    <n v="0"/>
    <n v="0"/>
    <n v="0"/>
    <n v="0"/>
    <n v="0"/>
    <n v="0"/>
    <n v="0"/>
    <n v="1"/>
    <n v="1.3"/>
    <n v="7.0000000000000007E-2"/>
    <n v="1.1320754716981101"/>
    <n v="8.7566037735849006E-2"/>
    <n v="8.7566037735849006E-2"/>
    <n v="8.7566037735849006E-2"/>
    <x v="0"/>
    <m/>
    <m/>
    <x v="0"/>
    <m/>
    <m/>
    <m/>
    <m/>
    <m/>
    <m/>
    <m/>
    <m/>
    <m/>
    <m/>
    <m/>
    <m/>
    <m/>
    <m/>
    <m/>
    <m/>
    <m/>
    <m/>
    <m/>
  </r>
  <r>
    <s v="L01-728-3"/>
    <s v="L01S02"/>
    <m/>
    <n v="11.5"/>
    <n v="11"/>
    <n v="728"/>
    <s v="L01"/>
    <n v="1"/>
    <n v="1"/>
    <s v="DANA POINT"/>
    <s v="SOUTH"/>
    <s v="San Juan Creek"/>
    <n v="39643.503664076903"/>
    <n v="45297074.240426198"/>
    <n v="1039.8809776061901"/>
    <n v="43"/>
    <n v="28"/>
    <n v="0"/>
    <n v="11"/>
    <n v="0"/>
    <n v="0"/>
    <n v="0"/>
    <n v="0"/>
    <n v="0"/>
    <n v="0"/>
    <n v="0"/>
    <n v="0"/>
    <n v="0"/>
    <n v="89"/>
    <n v="1"/>
    <n v="2"/>
    <n v="0.12"/>
    <n v="0.5"/>
    <n v="0.10199999999999999"/>
    <n v="0.10199999999999999"/>
    <n v="0.10199999999999999"/>
    <x v="0"/>
    <m/>
    <m/>
    <x v="0"/>
    <m/>
    <m/>
    <m/>
    <m/>
    <m/>
    <m/>
    <m/>
    <m/>
    <m/>
    <m/>
    <m/>
    <m/>
    <m/>
    <m/>
    <m/>
    <m/>
    <m/>
    <m/>
    <m/>
  </r>
  <r>
    <s v="L01-728-5"/>
    <m/>
    <n v="60"/>
    <m/>
    <m/>
    <n v="728"/>
    <s v="L01"/>
    <n v="1"/>
    <n v="0"/>
    <s v="DANA POINT"/>
    <s v="SOUTH"/>
    <s v="San Juan Creek"/>
    <n v="8018.8700403862204"/>
    <n v="1076962.10454356"/>
    <n v="24.723724984385399"/>
    <n v="63"/>
    <n v="63"/>
    <n v="0"/>
    <n v="100"/>
    <n v="0"/>
    <n v="0"/>
    <n v="0"/>
    <n v="0"/>
    <n v="0"/>
    <n v="0"/>
    <n v="0"/>
    <n v="0"/>
    <n v="0"/>
    <n v="0"/>
    <n v="3"/>
    <n v="0.76666666666666705"/>
    <n v="1.8333333333333E-2"/>
    <n v="0.365079365079365"/>
    <n v="2.3678571428569998E-3"/>
    <n v="5.1000000000000004E-3"/>
    <n v="3.4455357142860001E-3"/>
    <x v="0"/>
    <m/>
    <m/>
    <x v="0"/>
    <m/>
    <m/>
    <m/>
    <m/>
    <m/>
    <m/>
    <m/>
    <m/>
    <m/>
    <m/>
    <m/>
    <m/>
    <m/>
    <m/>
    <m/>
    <m/>
    <m/>
    <m/>
    <m/>
  </r>
  <r>
    <s v="L01-730-1"/>
    <m/>
    <n v="36"/>
    <m/>
    <m/>
    <n v="730"/>
    <s v="L01"/>
    <n v="1"/>
    <n v="0"/>
    <s v="RANCHO SANTA MARGARITA"/>
    <s v="SOUTH"/>
    <s v="San Juan Creek"/>
    <n v="4978.8997408934101"/>
    <n v="1419284.4612243101"/>
    <n v="32.582389432164099"/>
    <n v="17"/>
    <n v="17"/>
    <n v="0"/>
    <n v="0"/>
    <n v="0"/>
    <n v="0"/>
    <n v="0"/>
    <n v="0"/>
    <n v="0"/>
    <n v="0"/>
    <n v="13"/>
    <n v="87"/>
    <n v="0"/>
    <n v="0"/>
    <n v="1"/>
    <n v="0.2"/>
    <n v="0.1"/>
    <n v="1"/>
    <n v="1.7000000000000001E-2"/>
    <n v="1.7000000000000001E-2"/>
    <n v="1.7000000000000001E-2"/>
    <x v="0"/>
    <m/>
    <m/>
    <x v="0"/>
    <m/>
    <m/>
    <m/>
    <m/>
    <m/>
    <m/>
    <m/>
    <m/>
    <m/>
    <m/>
    <m/>
    <m/>
    <m/>
    <m/>
    <m/>
    <m/>
    <m/>
    <m/>
    <m/>
  </r>
  <r>
    <s v="L01-731-1"/>
    <s v="L08TBN2"/>
    <n v="108"/>
    <m/>
    <m/>
    <n v="731"/>
    <s v="L01"/>
    <n v="1"/>
    <n v="0"/>
    <s v="RANCHO SANTA MARGARITA"/>
    <s v="SOUTH"/>
    <s v="San Juan Creek"/>
    <n v="7665.41359288078"/>
    <n v="2386104.9140470098"/>
    <n v="54.777602136512598"/>
    <n v="0"/>
    <n v="0"/>
    <n v="0"/>
    <n v="0"/>
    <n v="0"/>
    <n v="0"/>
    <n v="0"/>
    <n v="0"/>
    <n v="0"/>
    <n v="0"/>
    <n v="0"/>
    <n v="100"/>
    <n v="0"/>
    <n v="0"/>
    <n v="1"/>
    <n v="1"/>
    <n v="0.1"/>
    <n v="1"/>
    <n v="8.5000000000000006E-2"/>
    <n v="8.5000000000000006E-2"/>
    <n v="8.5000000000000006E-2"/>
    <x v="0"/>
    <m/>
    <m/>
    <x v="0"/>
    <m/>
    <m/>
    <m/>
    <m/>
    <m/>
    <m/>
    <m/>
    <m/>
    <m/>
    <m/>
    <m/>
    <m/>
    <m/>
    <m/>
    <m/>
    <m/>
    <m/>
    <m/>
    <m/>
  </r>
  <r>
    <s v="L01-747-2"/>
    <m/>
    <n v="84"/>
    <m/>
    <m/>
    <n v="747"/>
    <s v="L01"/>
    <n v="1"/>
    <n v="0"/>
    <s v="SAN JUAN CAPISTRANO"/>
    <s v="SOUTH"/>
    <s v="San Juan Creek"/>
    <n v="20442.952750516699"/>
    <n v="10481231.6816977"/>
    <n v="240.61672040516899"/>
    <n v="33"/>
    <n v="29"/>
    <n v="0"/>
    <n v="0"/>
    <n v="0"/>
    <n v="0"/>
    <n v="0"/>
    <n v="0"/>
    <n v="0"/>
    <n v="0"/>
    <n v="18"/>
    <n v="0"/>
    <n v="0"/>
    <n v="82"/>
    <n v="2"/>
    <n v="0.81"/>
    <n v="0.02"/>
    <n v="0.58333333333333304"/>
    <n v="4.2500000000000003E-3"/>
    <n v="4.7600000000000003E-3"/>
    <n v="4.5050000000000003E-3"/>
    <x v="0"/>
    <s v="Dry"/>
    <s v="Dry"/>
    <x v="0"/>
    <m/>
    <m/>
    <m/>
    <m/>
    <m/>
    <m/>
    <m/>
    <m/>
    <m/>
    <m/>
    <m/>
    <m/>
    <m/>
    <m/>
    <m/>
    <m/>
    <m/>
    <m/>
    <m/>
  </r>
  <r>
    <s v="L01-749-2"/>
    <m/>
    <n v="54"/>
    <m/>
    <m/>
    <n v="749"/>
    <s v="L01"/>
    <n v="1"/>
    <n v="0"/>
    <s v="SAN JUAN CAPISTRANO"/>
    <s v="SOUTH"/>
    <s v="San Juan Creek"/>
    <n v="14419.4271838557"/>
    <n v="4602773.8761347197"/>
    <n v="105.665477920504"/>
    <n v="78"/>
    <n v="78"/>
    <n v="0"/>
    <n v="0"/>
    <n v="0"/>
    <n v="0"/>
    <n v="0"/>
    <n v="0"/>
    <n v="0"/>
    <n v="0"/>
    <n v="0"/>
    <n v="0"/>
    <n v="0"/>
    <n v="100"/>
    <n v="1"/>
    <n v="1.1499999999999999"/>
    <n v="0.06"/>
    <n v="0.28571428571428598"/>
    <n v="1.6757142857143002E-2"/>
    <n v="1.6757142857143002E-2"/>
    <n v="1.6757142857143002E-2"/>
    <x v="0"/>
    <m/>
    <m/>
    <x v="0"/>
    <m/>
    <m/>
    <m/>
    <m/>
    <m/>
    <m/>
    <m/>
    <m/>
    <m/>
    <m/>
    <m/>
    <m/>
    <m/>
    <m/>
    <m/>
    <m/>
    <m/>
    <m/>
    <m/>
  </r>
  <r>
    <s v="L01-760-1"/>
    <m/>
    <n v="48"/>
    <m/>
    <m/>
    <n v="760"/>
    <s v="L01"/>
    <n v="1"/>
    <n v="0"/>
    <s v="ORANGE CO"/>
    <s v="SOUTH"/>
    <s v="San Juan Creek"/>
    <n v="5504.0116881180702"/>
    <n v="1459710.65535524"/>
    <n v="33.510450040463901"/>
    <n v="95"/>
    <n v="95"/>
    <n v="0"/>
    <n v="0"/>
    <n v="0"/>
    <n v="0"/>
    <n v="0"/>
    <n v="0"/>
    <n v="0"/>
    <n v="0"/>
    <n v="100"/>
    <n v="0"/>
    <n v="0"/>
    <n v="0"/>
    <n v="2"/>
    <n v="0.57499999999999996"/>
    <n v="1.4999999999999999E-2"/>
    <n v="1.6"/>
    <n v="7.6499999999999997E-3"/>
    <n v="1.4279999999999999E-2"/>
    <n v="1.0965000000000001E-2"/>
    <x v="1"/>
    <s v="Flowing"/>
    <s v="Flowing"/>
    <x v="3"/>
    <m/>
    <m/>
    <m/>
    <m/>
    <m/>
    <m/>
    <m/>
    <m/>
    <m/>
    <m/>
    <m/>
    <m/>
    <m/>
    <m/>
    <m/>
    <m/>
    <m/>
    <m/>
    <m/>
  </r>
  <r>
    <s v="L01-760-2"/>
    <m/>
    <n v="60"/>
    <m/>
    <m/>
    <n v="760"/>
    <s v="L01"/>
    <n v="1"/>
    <n v="0"/>
    <s v="ORANGE CO"/>
    <s v="SOUTH"/>
    <s v="San Juan Creek"/>
    <n v="5037.2014178292702"/>
    <n v="1418932.6942634899"/>
    <n v="32.574313948763702"/>
    <n v="99"/>
    <n v="99"/>
    <n v="0"/>
    <n v="0"/>
    <n v="0"/>
    <n v="0"/>
    <n v="0"/>
    <n v="0"/>
    <n v="0"/>
    <n v="0"/>
    <n v="100"/>
    <n v="0"/>
    <n v="0"/>
    <n v="0"/>
    <n v="2"/>
    <n v="1.1599999999999999"/>
    <n v="4.2500000000000003E-2"/>
    <n v="0.85"/>
    <n v="1.6830000000000001E-2"/>
    <n v="3.6295000000000001E-2"/>
    <n v="2.6562499999999999E-2"/>
    <x v="1"/>
    <s v="Flowing"/>
    <s v="Flowing"/>
    <x v="3"/>
    <m/>
    <m/>
    <m/>
    <m/>
    <m/>
    <m/>
    <m/>
    <m/>
    <m/>
    <m/>
    <m/>
    <m/>
    <m/>
    <m/>
    <m/>
    <m/>
    <m/>
    <m/>
    <m/>
  </r>
  <r>
    <s v="L01-766-2"/>
    <s v="L01S06"/>
    <m/>
    <n v="10"/>
    <n v="5"/>
    <n v="766"/>
    <s v="L01"/>
    <n v="1"/>
    <n v="1"/>
    <s v="SAN JUAN CAPISTRANO"/>
    <s v="SOUTH"/>
    <s v="San Juan Creek"/>
    <n v="19042.267403750298"/>
    <n v="8483748.4057638701"/>
    <n v="194.76067127702501"/>
    <n v="76"/>
    <n v="66"/>
    <n v="0"/>
    <n v="0"/>
    <n v="0"/>
    <n v="0"/>
    <n v="0"/>
    <n v="0"/>
    <n v="0"/>
    <n v="0"/>
    <n v="0"/>
    <n v="0"/>
    <n v="0"/>
    <n v="100"/>
    <n v="1"/>
    <n v="3.5"/>
    <n v="0.05"/>
    <n v="1"/>
    <n v="0.14874999999999999"/>
    <n v="0.14874999999999999"/>
    <n v="0.14874999999999999"/>
    <x v="0"/>
    <m/>
    <m/>
    <x v="0"/>
    <m/>
    <m/>
    <m/>
    <m/>
    <m/>
    <m/>
    <m/>
    <m/>
    <m/>
    <m/>
    <m/>
    <m/>
    <m/>
    <m/>
    <m/>
    <m/>
    <m/>
    <m/>
    <m/>
  </r>
  <r>
    <s v="L01-766-4"/>
    <m/>
    <n v="48"/>
    <m/>
    <m/>
    <n v="766"/>
    <s v="L01"/>
    <n v="1"/>
    <n v="0"/>
    <s v="SAN JUAN CAPISTRANO"/>
    <s v="SOUTH"/>
    <s v="San Juan Creek"/>
    <n v="4036.3410189086999"/>
    <n v="919987.69033703499"/>
    <n v="21.120077065805901"/>
    <n v="100"/>
    <n v="99"/>
    <n v="0"/>
    <n v="0"/>
    <n v="0"/>
    <n v="0"/>
    <n v="0"/>
    <n v="0"/>
    <n v="0"/>
    <n v="0"/>
    <n v="0"/>
    <n v="0"/>
    <n v="0"/>
    <n v="100"/>
    <n v="1"/>
    <n v="0.5"/>
    <n v="0.01"/>
    <n v="3"/>
    <n v="1.2749999999999999E-2"/>
    <n v="1.2749999999999999E-2"/>
    <n v="1.2749999999999999E-2"/>
    <x v="0"/>
    <m/>
    <m/>
    <x v="0"/>
    <m/>
    <m/>
    <m/>
    <m/>
    <m/>
    <m/>
    <m/>
    <m/>
    <m/>
    <m/>
    <m/>
    <m/>
    <m/>
    <m/>
    <m/>
    <m/>
    <m/>
    <m/>
    <m/>
  </r>
  <r>
    <s v="L01-766-7"/>
    <m/>
    <n v="42"/>
    <m/>
    <m/>
    <n v="766"/>
    <s v="L01"/>
    <n v="1"/>
    <n v="0"/>
    <s v="SAN JUAN CAPISTRANO"/>
    <s v="SOUTH"/>
    <s v="San Juan Creek"/>
    <n v="8982.1031755251497"/>
    <n v="2471286.75228329"/>
    <n v="56.733114158089897"/>
    <n v="100"/>
    <n v="10"/>
    <n v="0"/>
    <n v="0"/>
    <n v="0"/>
    <n v="0"/>
    <n v="0"/>
    <n v="0"/>
    <n v="0"/>
    <n v="0"/>
    <n v="0"/>
    <n v="0"/>
    <n v="0"/>
    <n v="100"/>
    <n v="1"/>
    <n v="0.4"/>
    <n v="0.01"/>
    <n v="0.33333333333333298"/>
    <n v="1.1333333333329999E-3"/>
    <n v="1.1333333333329999E-3"/>
    <n v="1.1333333333329999E-3"/>
    <x v="0"/>
    <m/>
    <m/>
    <x v="0"/>
    <m/>
    <m/>
    <m/>
    <m/>
    <m/>
    <m/>
    <m/>
    <m/>
    <m/>
    <m/>
    <m/>
    <m/>
    <m/>
    <m/>
    <m/>
    <m/>
    <m/>
    <m/>
    <m/>
  </r>
  <r>
    <s v="L02-541-9"/>
    <s v="L02P02"/>
    <m/>
    <n v="72"/>
    <n v="90"/>
    <n v="541"/>
    <s v="L02"/>
    <n v="1"/>
    <n v="1"/>
    <s v="SAN JUAN CAPISTRANO"/>
    <s v="SOUTH"/>
    <s v="San Juan Creek"/>
    <n v="17956.3743922006"/>
    <n v="9864939.0597681105"/>
    <n v="226.46854450351799"/>
    <n v="93"/>
    <n v="71"/>
    <n v="0"/>
    <n v="0"/>
    <n v="0"/>
    <n v="0"/>
    <n v="0"/>
    <n v="0"/>
    <n v="0"/>
    <n v="0"/>
    <n v="2"/>
    <n v="0"/>
    <n v="0"/>
    <n v="98"/>
    <n v="2"/>
    <n v="0.95"/>
    <n v="0.04"/>
    <n v="0.3125"/>
    <n v="5.7375000000000004E-3"/>
    <n v="1.59375E-2"/>
    <n v="1.08375E-2"/>
    <x v="0"/>
    <m/>
    <m/>
    <x v="0"/>
    <m/>
    <m/>
    <m/>
    <m/>
    <m/>
    <m/>
    <m/>
    <m/>
    <m/>
    <m/>
    <m/>
    <m/>
    <m/>
    <m/>
    <m/>
    <m/>
    <m/>
    <m/>
    <m/>
  </r>
  <r>
    <s v="L02-622-2"/>
    <s v="L02P32"/>
    <n v="72"/>
    <m/>
    <m/>
    <n v="622"/>
    <s v="L02"/>
    <n v="1"/>
    <n v="0"/>
    <s v="RANCHO SANTA MARGARITA"/>
    <s v="SOUTH"/>
    <s v="San Juan Creek"/>
    <n v="31105.578323764501"/>
    <n v="24896287.277437501"/>
    <n v="571.54189286956296"/>
    <n v="97"/>
    <n v="79"/>
    <n v="0"/>
    <n v="0"/>
    <n v="0"/>
    <n v="0"/>
    <n v="0"/>
    <n v="0"/>
    <n v="0"/>
    <n v="0"/>
    <n v="8"/>
    <n v="92"/>
    <n v="0"/>
    <n v="0"/>
    <n v="1"/>
    <n v="0.7"/>
    <n v="0.03"/>
    <n v="2"/>
    <n v="3.5700000000000003E-2"/>
    <n v="3.5700000000000003E-2"/>
    <n v="3.5700000000000003E-2"/>
    <x v="3"/>
    <s v="Dry"/>
    <s v="Flowing"/>
    <x v="2"/>
    <m/>
    <m/>
    <m/>
    <m/>
    <m/>
    <m/>
    <m/>
    <m/>
    <m/>
    <m/>
    <m/>
    <m/>
    <m/>
    <m/>
    <m/>
    <m/>
    <m/>
    <m/>
    <m/>
  </r>
  <r>
    <s v="L03-074-1"/>
    <s v="L03B01"/>
    <n v="60"/>
    <m/>
    <m/>
    <n v="74"/>
    <s v="L03"/>
    <n v="1"/>
    <n v="0"/>
    <s v="MISSION VIEJO"/>
    <s v="SOUTH"/>
    <s v="San Juan Creek"/>
    <n v="17753.712598411701"/>
    <n v="7477748.5663118698"/>
    <n v="171.66602081530999"/>
    <n v="98"/>
    <n v="95"/>
    <n v="0"/>
    <n v="0"/>
    <n v="0"/>
    <n v="0"/>
    <n v="0"/>
    <n v="0"/>
    <n v="0"/>
    <n v="100"/>
    <n v="0"/>
    <n v="0"/>
    <n v="0"/>
    <n v="0"/>
    <n v="1"/>
    <n v="0.7"/>
    <n v="0.05"/>
    <n v="1.5"/>
    <n v="4.4624999999999998E-2"/>
    <n v="4.4624999999999998E-2"/>
    <n v="4.4624999999999998E-2"/>
    <x v="0"/>
    <m/>
    <m/>
    <x v="0"/>
    <m/>
    <m/>
    <m/>
    <m/>
    <m/>
    <m/>
    <m/>
    <m/>
    <m/>
    <m/>
    <m/>
    <m/>
    <m/>
    <m/>
    <m/>
    <m/>
    <m/>
    <m/>
    <m/>
  </r>
  <r>
    <s v="L03-142-1"/>
    <s v="L03P24"/>
    <n v="66"/>
    <m/>
    <m/>
    <n v="142"/>
    <s v="L03"/>
    <n v="1"/>
    <n v="0"/>
    <s v="RANCHO SANTA MARGARITA"/>
    <s v="SOUTH"/>
    <s v="San Juan Creek"/>
    <n v="15886.523266402601"/>
    <n v="11135154.397989601"/>
    <n v="255.628767096909"/>
    <n v="19"/>
    <n v="14"/>
    <n v="0"/>
    <n v="0"/>
    <n v="0"/>
    <n v="0"/>
    <n v="0"/>
    <n v="0"/>
    <n v="0"/>
    <n v="0"/>
    <n v="100"/>
    <n v="0"/>
    <n v="0"/>
    <n v="0"/>
    <n v="1"/>
    <n v="0.4"/>
    <n v="5.0000000000000001E-3"/>
    <n v="0.6"/>
    <n v="1.0200000000000001E-3"/>
    <n v="1.0200000000000001E-3"/>
    <n v="1.0200000000000001E-3"/>
    <x v="0"/>
    <m/>
    <m/>
    <x v="0"/>
    <m/>
    <m/>
    <m/>
    <m/>
    <m/>
    <m/>
    <m/>
    <m/>
    <m/>
    <m/>
    <m/>
    <m/>
    <m/>
    <m/>
    <m/>
    <m/>
    <m/>
    <m/>
    <m/>
  </r>
  <r>
    <s v="L03-172-2"/>
    <m/>
    <n v="36"/>
    <m/>
    <m/>
    <n v="172"/>
    <s v="L03"/>
    <n v="1"/>
    <n v="0"/>
    <s v="MISSION VIEJO"/>
    <s v="SOUTH"/>
    <s v="San Juan Creek"/>
    <n v="7479.0008529110301"/>
    <n v="2114445.7166269901"/>
    <n v="48.541145664965903"/>
    <n v="95"/>
    <n v="90"/>
    <n v="0"/>
    <n v="0"/>
    <n v="0"/>
    <n v="0"/>
    <n v="0"/>
    <n v="0"/>
    <n v="0"/>
    <n v="100"/>
    <n v="0"/>
    <n v="0"/>
    <n v="0"/>
    <n v="0"/>
    <n v="1"/>
    <n v="0.5"/>
    <n v="0.03"/>
    <n v="1"/>
    <n v="1.2749999999999999E-2"/>
    <n v="1.2749999999999999E-2"/>
    <n v="1.2749999999999999E-2"/>
    <x v="0"/>
    <m/>
    <m/>
    <x v="0"/>
    <m/>
    <m/>
    <m/>
    <m/>
    <m/>
    <m/>
    <m/>
    <m/>
    <m/>
    <m/>
    <m/>
    <m/>
    <m/>
    <m/>
    <m/>
    <m/>
    <m/>
    <m/>
    <m/>
  </r>
  <r>
    <s v="L03-316-1"/>
    <m/>
    <n v="42"/>
    <m/>
    <m/>
    <n v="316"/>
    <s v="L03"/>
    <n v="1"/>
    <n v="0"/>
    <s v="MISSION VIEJO"/>
    <s v="SOUTH"/>
    <s v="San Juan Creek"/>
    <m/>
    <m/>
    <m/>
    <m/>
    <m/>
    <m/>
    <m/>
    <m/>
    <m/>
    <m/>
    <m/>
    <m/>
    <m/>
    <m/>
    <m/>
    <m/>
    <m/>
    <n v="1"/>
    <n v="1"/>
    <n v="0.04"/>
    <n v="2"/>
    <n v="6.8000000000000005E-2"/>
    <n v="6.8000000000000005E-2"/>
    <n v="6.8000000000000005E-2"/>
    <x v="1"/>
    <s v="Flowing"/>
    <s v="Flowing"/>
    <x v="3"/>
    <m/>
    <m/>
    <m/>
    <m/>
    <m/>
    <m/>
    <m/>
    <m/>
    <m/>
    <m/>
    <m/>
    <m/>
    <m/>
    <m/>
    <m/>
    <m/>
    <m/>
    <m/>
    <m/>
  </r>
  <r>
    <s v="L03-316-2"/>
    <m/>
    <n v="36"/>
    <m/>
    <m/>
    <n v="316"/>
    <s v="L03"/>
    <n v="1"/>
    <n v="0"/>
    <s v="MISSION VIEJO"/>
    <s v="SOUTH"/>
    <s v="San Juan Creek"/>
    <n v="17129.991736281099"/>
    <n v="7217563.0928094201"/>
    <n v="165.69296562175401"/>
    <n v="88"/>
    <n v="57"/>
    <n v="0"/>
    <n v="0"/>
    <n v="0"/>
    <n v="0"/>
    <n v="0"/>
    <n v="0"/>
    <n v="0"/>
    <n v="100"/>
    <n v="0"/>
    <n v="0"/>
    <n v="0"/>
    <n v="0"/>
    <n v="1"/>
    <n v="0.3"/>
    <n v="1E-3"/>
    <n v="1.3333333333333299"/>
    <n v="3.4000000000000002E-4"/>
    <n v="3.4000000000000002E-4"/>
    <n v="3.4000000000000002E-4"/>
    <x v="1"/>
    <s v="Flowing"/>
    <s v="Flowing"/>
    <x v="3"/>
    <m/>
    <m/>
    <m/>
    <m/>
    <m/>
    <m/>
    <m/>
    <m/>
    <m/>
    <m/>
    <m/>
    <m/>
    <m/>
    <m/>
    <m/>
    <m/>
    <m/>
    <m/>
    <m/>
  </r>
  <r>
    <s v="L03-316-4"/>
    <s v="L03P12"/>
    <n v="36"/>
    <m/>
    <m/>
    <n v="316"/>
    <s v="L03"/>
    <n v="1"/>
    <n v="0"/>
    <s v="MISSION VIEJO"/>
    <s v="SOUTH"/>
    <s v="San Juan Creek"/>
    <n v="8325.2041420229598"/>
    <n v="1921356.2164706399"/>
    <n v="44.1084068721173"/>
    <n v="100"/>
    <n v="66"/>
    <n v="0"/>
    <n v="0"/>
    <n v="0"/>
    <n v="0"/>
    <n v="0"/>
    <n v="0"/>
    <n v="0"/>
    <n v="100"/>
    <n v="0"/>
    <n v="0"/>
    <n v="0"/>
    <n v="0"/>
    <n v="2"/>
    <n v="0.35"/>
    <n v="7.4999999999999997E-3"/>
    <n v="1.0416666666666601"/>
    <n v="1.0624999999999999E-4"/>
    <n v="6.7999999999999996E-3"/>
    <n v="3.453125E-3"/>
    <x v="1"/>
    <s v="Flowing"/>
    <s v="Flowing"/>
    <x v="3"/>
    <m/>
    <m/>
    <m/>
    <m/>
    <m/>
    <m/>
    <m/>
    <m/>
    <m/>
    <m/>
    <m/>
    <m/>
    <m/>
    <m/>
    <m/>
    <m/>
    <m/>
    <m/>
    <m/>
  </r>
  <r>
    <s v="L03-418-1"/>
    <m/>
    <n v="36"/>
    <n v="3"/>
    <n v="8"/>
    <n v="418"/>
    <s v="L03"/>
    <n v="1"/>
    <n v="0"/>
    <s v="LAGUNA NIGUEL"/>
    <s v="SOUTH"/>
    <s v="San Juan Creek"/>
    <n v="11504.462517390601"/>
    <n v="5388978.4921620702"/>
    <n v="123.714308632475"/>
    <n v="89"/>
    <n v="13"/>
    <n v="0"/>
    <n v="0"/>
    <n v="0"/>
    <n v="0"/>
    <n v="5"/>
    <n v="0"/>
    <n v="0"/>
    <n v="95"/>
    <n v="0"/>
    <n v="0"/>
    <n v="0"/>
    <n v="0"/>
    <n v="2"/>
    <n v="2.25"/>
    <n v="6.0000000000000001E-3"/>
    <n v="1.45714285714285"/>
    <n v="4.4879999999999998E-3"/>
    <n v="3.3514285714286003E-2"/>
    <n v="1.9001142857143001E-2"/>
    <x v="1"/>
    <s v="Flowing"/>
    <s v="Flowing"/>
    <x v="3"/>
    <m/>
    <m/>
    <m/>
    <m/>
    <m/>
    <m/>
    <m/>
    <m/>
    <m/>
    <m/>
    <m/>
    <m/>
    <m/>
    <m/>
    <m/>
    <m/>
    <m/>
    <m/>
    <m/>
  </r>
  <r>
    <s v="L03-455-1"/>
    <m/>
    <n v="66"/>
    <m/>
    <m/>
    <n v="455"/>
    <s v="L03"/>
    <n v="1"/>
    <n v="0"/>
    <s v="SAN JUAN CAPISTRANO"/>
    <s v="SOUTH"/>
    <s v="San Juan Creek"/>
    <n v="9216.2628644392807"/>
    <n v="3591425.09372397"/>
    <n v="82.448032242400899"/>
    <n v="45"/>
    <n v="0"/>
    <n v="0"/>
    <n v="0"/>
    <n v="0"/>
    <n v="0"/>
    <n v="2"/>
    <n v="0"/>
    <n v="0"/>
    <n v="0"/>
    <n v="0"/>
    <n v="0"/>
    <n v="0"/>
    <n v="98"/>
    <n v="1"/>
    <n v="0.35"/>
    <n v="0.01"/>
    <n v="0.4"/>
    <n v="1.1900000000000001E-3"/>
    <n v="1.1900000000000001E-3"/>
    <n v="1.1900000000000001E-3"/>
    <x v="0"/>
    <m/>
    <m/>
    <x v="0"/>
    <m/>
    <m/>
    <m/>
    <m/>
    <m/>
    <m/>
    <m/>
    <m/>
    <m/>
    <m/>
    <m/>
    <m/>
    <m/>
    <m/>
    <m/>
    <m/>
    <m/>
    <m/>
    <m/>
  </r>
  <r>
    <s v="L03-455-2"/>
    <m/>
    <m/>
    <n v="78"/>
    <n v="36"/>
    <n v="455"/>
    <s v="L03"/>
    <n v="1"/>
    <n v="1"/>
    <s v="SAN JUAN CAPISTRANO"/>
    <s v="SOUTH"/>
    <s v="San Juan Creek"/>
    <m/>
    <m/>
    <m/>
    <m/>
    <m/>
    <m/>
    <m/>
    <m/>
    <m/>
    <m/>
    <m/>
    <m/>
    <m/>
    <m/>
    <m/>
    <m/>
    <m/>
    <n v="1"/>
    <n v="0.38"/>
    <n v="0.01"/>
    <n v="0.75"/>
    <n v="2.4225000000000002E-3"/>
    <n v="2.4225000000000002E-3"/>
    <n v="2.4225000000000002E-3"/>
    <x v="0"/>
    <m/>
    <m/>
    <x v="0"/>
    <m/>
    <m/>
    <m/>
    <m/>
    <m/>
    <m/>
    <m/>
    <m/>
    <m/>
    <m/>
    <m/>
    <m/>
    <m/>
    <m/>
    <m/>
    <m/>
    <m/>
    <m/>
    <m/>
  </r>
  <r>
    <s v="L03-455-5"/>
    <m/>
    <n v="36"/>
    <m/>
    <m/>
    <n v="455"/>
    <s v="L03"/>
    <n v="1"/>
    <n v="0"/>
    <s v="LAGUNA NIGUEL"/>
    <s v="SOUTH"/>
    <s v="San Juan Creek"/>
    <n v="6788.5173593405798"/>
    <n v="1034751.98653713"/>
    <n v="23.754710991463401"/>
    <n v="57"/>
    <n v="2"/>
    <n v="0"/>
    <n v="0"/>
    <n v="0"/>
    <n v="0"/>
    <n v="88"/>
    <n v="0"/>
    <n v="0"/>
    <n v="0"/>
    <n v="0"/>
    <n v="0"/>
    <n v="0"/>
    <n v="12"/>
    <n v="3"/>
    <n v="0.37666666666666698"/>
    <n v="2.3333333333333001E-2"/>
    <n v="1.4"/>
    <n v="2.5500000000000002E-3"/>
    <n v="2.1624000000000001E-2"/>
    <n v="1.1457999999999999E-2"/>
    <x v="1"/>
    <s v="Flowing"/>
    <s v="Flowing"/>
    <x v="3"/>
    <m/>
    <m/>
    <m/>
    <m/>
    <m/>
    <m/>
    <m/>
    <m/>
    <m/>
    <m/>
    <m/>
    <m/>
    <m/>
    <m/>
    <m/>
    <m/>
    <m/>
    <m/>
    <m/>
  </r>
  <r>
    <s v="L03-455-7"/>
    <m/>
    <n v="36"/>
    <m/>
    <m/>
    <n v="455"/>
    <s v="L03"/>
    <n v="1"/>
    <n v="0"/>
    <s v="LAGUNA NIGUEL"/>
    <s v="SOUTH"/>
    <s v="San Juan Creek"/>
    <n v="8228.7562578796096"/>
    <n v="2797168.4633029299"/>
    <n v="64.214352139165698"/>
    <n v="50"/>
    <n v="40"/>
    <n v="0"/>
    <n v="0"/>
    <n v="0"/>
    <n v="0"/>
    <n v="86"/>
    <n v="0"/>
    <n v="0"/>
    <n v="0"/>
    <n v="0"/>
    <n v="0"/>
    <n v="0"/>
    <n v="14"/>
    <n v="3"/>
    <n v="0.51666666666666705"/>
    <n v="1.3333333333332999E-2"/>
    <n v="3.6666666666666599"/>
    <n v="1.4024999999999999E-2"/>
    <n v="2.7199999999999998E-2"/>
    <n v="2.0541666666666999E-2"/>
    <x v="1"/>
    <s v="Flowing"/>
    <s v="Flowing"/>
    <x v="3"/>
    <m/>
    <m/>
    <m/>
    <m/>
    <m/>
    <m/>
    <m/>
    <m/>
    <m/>
    <m/>
    <m/>
    <m/>
    <m/>
    <m/>
    <m/>
    <m/>
    <m/>
    <m/>
    <m/>
  </r>
  <r>
    <s v="L03-693-1"/>
    <s v="L03P11"/>
    <n v="60"/>
    <m/>
    <m/>
    <n v="693"/>
    <s v="L03"/>
    <n v="1"/>
    <n v="0"/>
    <s v="MISSION VIEJO"/>
    <s v="SOUTH"/>
    <s v="San Juan Creek"/>
    <n v="22521.0708378569"/>
    <n v="12188577.304100201"/>
    <n v="279.812104758516"/>
    <n v="99"/>
    <n v="89"/>
    <n v="0"/>
    <n v="0"/>
    <n v="0"/>
    <n v="0"/>
    <n v="0"/>
    <n v="0"/>
    <n v="0"/>
    <n v="100"/>
    <n v="0"/>
    <n v="0"/>
    <n v="0"/>
    <n v="0"/>
    <n v="1"/>
    <n v="0.65"/>
    <n v="0.03"/>
    <n v="4.6153846153846096"/>
    <n v="7.6499999999999999E-2"/>
    <n v="7.6499999999999999E-2"/>
    <n v="7.6499999999999999E-2"/>
    <x v="1"/>
    <s v="Flowing"/>
    <s v="Flowing"/>
    <x v="3"/>
    <m/>
    <m/>
    <m/>
    <m/>
    <m/>
    <m/>
    <m/>
    <m/>
    <m/>
    <m/>
    <m/>
    <m/>
    <m/>
    <m/>
    <m/>
    <m/>
    <m/>
    <m/>
    <m/>
  </r>
  <r>
    <s v="L03-708-1"/>
    <m/>
    <n v="36"/>
    <m/>
    <m/>
    <n v="708"/>
    <s v="L03"/>
    <n v="1"/>
    <n v="0"/>
    <s v="LAGUNA NIGUEL"/>
    <s v="SOUTH"/>
    <s v="San Juan Creek"/>
    <n v="15022.148308321501"/>
    <n v="4747546.2285604104"/>
    <n v="108.98900417237"/>
    <n v="47"/>
    <n v="17"/>
    <n v="0"/>
    <n v="0"/>
    <n v="0"/>
    <n v="0"/>
    <n v="100"/>
    <n v="0"/>
    <n v="0"/>
    <n v="0"/>
    <n v="0"/>
    <n v="0"/>
    <n v="0"/>
    <n v="0"/>
    <n v="2"/>
    <n v="1.2250000000000001"/>
    <n v="6.5000000000000002E-2"/>
    <n v="0.35416666666666702"/>
    <n v="1.0625000000000001E-2"/>
    <n v="4.335E-2"/>
    <n v="2.6987500000000001E-2"/>
    <x v="0"/>
    <m/>
    <m/>
    <x v="0"/>
    <m/>
    <m/>
    <m/>
    <m/>
    <m/>
    <m/>
    <m/>
    <m/>
    <m/>
    <m/>
    <m/>
    <m/>
    <m/>
    <m/>
    <m/>
    <m/>
    <m/>
    <m/>
    <m/>
  </r>
  <r>
    <s v="L03-708-9"/>
    <m/>
    <n v="48"/>
    <m/>
    <m/>
    <n v="708"/>
    <s v="L03"/>
    <n v="1"/>
    <n v="0"/>
    <s v="LAGUNA NIGUEL"/>
    <s v="SOUTH"/>
    <s v="San Juan Creek"/>
    <m/>
    <m/>
    <m/>
    <m/>
    <m/>
    <m/>
    <m/>
    <m/>
    <m/>
    <m/>
    <m/>
    <m/>
    <m/>
    <m/>
    <m/>
    <m/>
    <m/>
    <n v="1"/>
    <n v="1.1499999999999999"/>
    <n v="0.04"/>
    <n v="1.2"/>
    <n v="4.6920000000000003E-2"/>
    <n v="4.6920000000000003E-2"/>
    <n v="4.6920000000000003E-2"/>
    <x v="0"/>
    <m/>
    <m/>
    <x v="0"/>
    <m/>
    <m/>
    <m/>
    <m/>
    <m/>
    <m/>
    <m/>
    <m/>
    <m/>
    <m/>
    <m/>
    <m/>
    <m/>
    <m/>
    <m/>
    <m/>
    <m/>
    <m/>
    <m/>
  </r>
  <r>
    <s v="L04-301-1"/>
    <s v="L04P08"/>
    <n v="48"/>
    <m/>
    <m/>
    <n v="301"/>
    <s v="L04"/>
    <n v="1"/>
    <n v="0"/>
    <s v="MISSION VIEJO"/>
    <s v="SOUTH"/>
    <s v="San Juan Creek"/>
    <n v="16978.040568464799"/>
    <n v="8356353.56932614"/>
    <n v="191.83607914214099"/>
    <n v="97"/>
    <n v="70"/>
    <n v="0"/>
    <n v="0"/>
    <n v="0"/>
    <n v="0"/>
    <n v="0"/>
    <n v="0"/>
    <n v="0"/>
    <n v="100"/>
    <n v="0"/>
    <n v="0"/>
    <n v="0"/>
    <n v="0"/>
    <n v="2"/>
    <n v="0.55000000000000004"/>
    <n v="0.01"/>
    <n v="0.78901734104046195"/>
    <n v="2.5500000000000002E-3"/>
    <n v="3.93063583815E-3"/>
    <n v="3.2403179190750001E-3"/>
    <x v="0"/>
    <m/>
    <m/>
    <x v="0"/>
    <m/>
    <m/>
    <m/>
    <m/>
    <m/>
    <m/>
    <m/>
    <m/>
    <m/>
    <m/>
    <m/>
    <m/>
    <m/>
    <m/>
    <m/>
    <m/>
    <m/>
    <m/>
    <m/>
  </r>
  <r>
    <s v="L05-049-1"/>
    <m/>
    <n v="108"/>
    <m/>
    <m/>
    <n v="49"/>
    <s v="L05"/>
    <n v="1"/>
    <n v="0"/>
    <s v="ORANGE CO"/>
    <s v="SOUTH"/>
    <s v="San Juan Creek"/>
    <n v="31850.440001343199"/>
    <n v="22541068.0909831"/>
    <n v="517.47333168418402"/>
    <n v="65"/>
    <n v="59"/>
    <n v="0"/>
    <n v="0"/>
    <n v="0"/>
    <n v="0"/>
    <n v="0"/>
    <n v="0"/>
    <n v="0"/>
    <n v="0"/>
    <n v="100"/>
    <n v="0"/>
    <n v="0"/>
    <n v="0"/>
    <n v="2"/>
    <n v="1.1000000000000001"/>
    <n v="4.4999999999999998E-2"/>
    <n v="1.35"/>
    <n v="3.3660000000000002E-2"/>
    <n v="8.4150000000000003E-2"/>
    <n v="5.8904999999999999E-2"/>
    <x v="0"/>
    <m/>
    <m/>
    <x v="0"/>
    <m/>
    <m/>
    <m/>
    <m/>
    <m/>
    <m/>
    <m/>
    <m/>
    <m/>
    <m/>
    <m/>
    <m/>
    <m/>
    <m/>
    <m/>
    <m/>
    <m/>
    <m/>
    <m/>
  </r>
  <r>
    <s v="L05-489-3"/>
    <m/>
    <n v="24"/>
    <m/>
    <m/>
    <n v="489"/>
    <s v="L05"/>
    <n v="1"/>
    <n v="0"/>
    <s v="ORANGE CO"/>
    <s v="SOUTH"/>
    <s v="San Juan Creek"/>
    <n v="54145.237253510801"/>
    <n v="90092133.167472005"/>
    <n v="2068.2372335034102"/>
    <n v="48"/>
    <n v="42"/>
    <n v="0"/>
    <n v="0"/>
    <n v="0"/>
    <n v="0"/>
    <n v="0"/>
    <n v="0"/>
    <n v="0"/>
    <n v="0"/>
    <n v="100"/>
    <n v="0"/>
    <n v="0"/>
    <n v="0"/>
    <n v="1"/>
    <n v="1.8"/>
    <n v="0.14000000000000001"/>
    <n v="2"/>
    <n v="0.4284"/>
    <n v="0.4284"/>
    <n v="0.4284"/>
    <x v="0"/>
    <m/>
    <m/>
    <x v="0"/>
    <m/>
    <m/>
    <m/>
    <m/>
    <m/>
    <m/>
    <m/>
    <m/>
    <m/>
    <m/>
    <m/>
    <m/>
    <m/>
    <m/>
    <m/>
    <m/>
    <m/>
    <m/>
    <m/>
  </r>
  <r>
    <s v="L05-489-7"/>
    <m/>
    <n v="60"/>
    <m/>
    <m/>
    <n v="489"/>
    <s v="L05"/>
    <n v="1"/>
    <n v="0"/>
    <s v="ORANGE CO"/>
    <s v="SOUTH"/>
    <s v="San Juan Creek"/>
    <n v="11633.1071232716"/>
    <n v="5586674.0195679897"/>
    <n v="128.25278759065401"/>
    <n v="13"/>
    <n v="0"/>
    <n v="0"/>
    <n v="0"/>
    <n v="0"/>
    <n v="0"/>
    <n v="0"/>
    <n v="0"/>
    <n v="0"/>
    <n v="0"/>
    <n v="100"/>
    <n v="0"/>
    <n v="0"/>
    <n v="0"/>
    <n v="2"/>
    <n v="1.01"/>
    <n v="0.19500000000000001"/>
    <n v="0.94103773584905703"/>
    <n v="6.9997500000000004E-2"/>
    <n v="0.23094339622641499"/>
    <n v="0.15047044811320801"/>
    <x v="0"/>
    <m/>
    <m/>
    <x v="0"/>
    <m/>
    <m/>
    <m/>
    <m/>
    <m/>
    <m/>
    <m/>
    <m/>
    <m/>
    <m/>
    <m/>
    <m/>
    <m/>
    <m/>
    <m/>
    <m/>
    <m/>
    <m/>
    <m/>
  </r>
  <r>
    <s v="M02-032-1"/>
    <m/>
    <n v="120"/>
    <m/>
    <m/>
    <n v="32"/>
    <s v="M02"/>
    <n v="1"/>
    <n v="0"/>
    <s v="SAN CLEMENTE"/>
    <s v="SOUTH"/>
    <s v="San Clemente"/>
    <n v="14408.671484385301"/>
    <n v="5710857.0703987796"/>
    <n v="131.10364704384099"/>
    <n v="10"/>
    <n v="0"/>
    <n v="0"/>
    <n v="0"/>
    <n v="0"/>
    <n v="0"/>
    <n v="0"/>
    <n v="0"/>
    <n v="0"/>
    <n v="0"/>
    <n v="0"/>
    <n v="0"/>
    <n v="100"/>
    <n v="0"/>
    <n v="2"/>
    <n v="1.4"/>
    <n v="0.48"/>
    <n v="1.69767441860465"/>
    <n v="9.2511627906977006E-2"/>
    <n v="2.2949999999999999"/>
    <n v="1.1937558139534801"/>
    <x v="1"/>
    <s v="Dry"/>
    <s v="Flowing"/>
    <x v="2"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9">
  <r>
    <s v="K01-12155-1"/>
    <m/>
    <n v="36"/>
    <m/>
    <m/>
    <n v="12155"/>
    <s v="K01"/>
    <n v="1"/>
    <n v="0"/>
    <s v="LAGUNA NIGUEL"/>
    <s v="SOUTH"/>
    <s v="Dana Point"/>
    <n v="8176.1841665931097"/>
    <n v="2777293.59180986"/>
    <n v="63.7580864499445"/>
    <n v="44"/>
    <n v="44"/>
    <n v="0"/>
    <n v="0"/>
    <n v="0"/>
    <n v="0"/>
    <n v="100"/>
    <n v="0"/>
    <n v="0"/>
    <n v="0"/>
    <n v="0"/>
    <n v="0"/>
    <n v="0"/>
    <n v="0"/>
    <n v="1"/>
    <n v="0.5"/>
    <n v="0.01"/>
    <n v="0.133333333333333"/>
    <n v="5.6666666666699999E-4"/>
    <n v="5.6666666666699999E-4"/>
    <n v="5.6666666666699999E-4"/>
    <x v="0"/>
    <m/>
    <m/>
    <x v="0"/>
    <s v="Aug- 3 - Aug-17, 13 days"/>
    <n v="2.7935999999999998E-4"/>
    <n v="0"/>
    <n v="1"/>
    <n v="0"/>
    <n v="8.9999999999999993E-3"/>
    <n v="2E-3"/>
    <n v="0"/>
    <n v="0"/>
    <m/>
    <m/>
    <n v="2.8035100000000003E-4"/>
    <n v="8.9999999999999993E-3"/>
    <n v="0"/>
    <n v="0"/>
    <n v="2.7691E-4"/>
    <n v="6.0000000000000001E-3"/>
    <n v="0"/>
    <n v="0"/>
  </r>
  <r>
    <s v="L02-641-1"/>
    <s v="Left pipe"/>
    <n v="96"/>
    <m/>
    <m/>
    <n v="641"/>
    <s v="L02"/>
    <n v="1"/>
    <n v="0"/>
    <s v="RANCHO SANTA MARGARITA"/>
    <s v="SOUTH"/>
    <s v="San Juan Creek"/>
    <n v="43302.910212702802"/>
    <n v="40351462.477653503"/>
    <n v="926.34500026169906"/>
    <n v="84"/>
    <n v="63"/>
    <n v="0"/>
    <n v="0"/>
    <n v="0"/>
    <n v="0"/>
    <n v="0"/>
    <n v="0"/>
    <n v="0"/>
    <n v="0"/>
    <n v="1"/>
    <n v="99"/>
    <n v="0"/>
    <n v="0"/>
    <n v="1"/>
    <n v="0.45"/>
    <n v="0.01"/>
    <n v="1.2"/>
    <n v="4.5900000000000003E-3"/>
    <n v="4.5900000000000003E-3"/>
    <n v="4.5900000000000003E-3"/>
    <x v="1"/>
    <m/>
    <s v="Flowing"/>
    <x v="1"/>
    <s v="Jul- 1 - Jul-14, 12 days"/>
    <n v="6.4444439999999997E-3"/>
    <n v="0"/>
    <n v="1"/>
    <n v="0"/>
    <n v="0.32700000000000001"/>
    <n v="0.13950000000000001"/>
    <n v="0"/>
    <n v="0"/>
    <m/>
    <m/>
    <n v="6.3659900000000002E-3"/>
    <n v="0.312"/>
    <n v="0"/>
    <n v="0"/>
    <n v="6.6154509999999996E-3"/>
    <n v="0.32700000000000001"/>
    <n v="0"/>
    <n v="0"/>
  </r>
  <r>
    <s v="J01-9273-1"/>
    <s v="LWJ01ASVM"/>
    <n v="36"/>
    <m/>
    <m/>
    <n v="9273"/>
    <s v="J01"/>
    <n v="1"/>
    <n v="0"/>
    <s v="LAGUNA WOODS"/>
    <s v="SOUTH"/>
    <s v="Aliso"/>
    <n v="5576.0840780041299"/>
    <n v="1336828.50869986"/>
    <n v="30.689455330825201"/>
    <n v="99"/>
    <n v="98"/>
    <n v="0"/>
    <n v="0"/>
    <n v="0"/>
    <n v="5"/>
    <n v="0"/>
    <n v="95"/>
    <n v="0"/>
    <n v="0"/>
    <n v="0"/>
    <n v="0"/>
    <n v="0"/>
    <n v="0"/>
    <m/>
    <m/>
    <m/>
    <m/>
    <m/>
    <m/>
    <m/>
    <x v="0"/>
    <m/>
    <m/>
    <x v="0"/>
    <s v="Apr- 5 - May- 9, 33 days"/>
    <n v="9.5900570000000008E-3"/>
    <n v="4.0000000000000001E-3"/>
    <n v="0.58290133399999999"/>
    <n v="0"/>
    <n v="1.41"/>
    <n v="1.2999999999999999E-2"/>
    <n v="1E-3"/>
    <n v="4.0000000000000001E-3"/>
    <n v="3.25"/>
    <n v="0.25"/>
    <n v="1.0012104000000001E-2"/>
    <n v="1.41"/>
    <n v="5.0000000000000001E-3"/>
    <n v="0"/>
    <n v="8.2305050000000008E-3"/>
    <n v="0.154"/>
    <n v="4.0000000000000001E-3"/>
    <n v="0"/>
  </r>
  <r>
    <s v="L02-641-2"/>
    <s v="Right pipe"/>
    <n v="96"/>
    <m/>
    <m/>
    <n v="641"/>
    <s v="L02"/>
    <n v="1"/>
    <n v="0"/>
    <s v="RANCHO SANTA MARGARITA"/>
    <s v="SOUTH"/>
    <s v="San Juan Creek"/>
    <n v="43302.910212702802"/>
    <n v="40351462.477653503"/>
    <n v="926.34500026169906"/>
    <n v="84"/>
    <n v="63"/>
    <n v="0"/>
    <n v="0"/>
    <n v="0"/>
    <n v="0"/>
    <n v="0"/>
    <n v="0"/>
    <n v="0"/>
    <n v="0"/>
    <n v="1"/>
    <n v="99"/>
    <n v="0"/>
    <n v="0"/>
    <n v="2"/>
    <n v="0.9"/>
    <n v="3.5000000000000003E-2"/>
    <n v="1.5"/>
    <n v="2.6775E-2"/>
    <n v="5.6099999999999997E-2"/>
    <n v="4.1437500000000002E-2"/>
    <x v="1"/>
    <m/>
    <s v="Flowing"/>
    <x v="2"/>
    <s v="Jul- 1 - Jul- 7, 6 days"/>
    <n v="1.8195313000000001E-2"/>
    <n v="4.0000000000000001E-3"/>
    <n v="0.78016315999999997"/>
    <n v="0"/>
    <n v="0.19600000000000001"/>
    <n v="0.151"/>
    <n v="0"/>
    <n v="0"/>
    <n v="37.75"/>
    <n v="0"/>
    <n v="1.6841282999999999E-2"/>
    <n v="0.16200000000000001"/>
    <n v="4.0000000000000001E-3"/>
    <n v="0"/>
    <n v="2.1053819000000001E-2"/>
    <n v="0.19600000000000001"/>
    <n v="5.0000000000000001E-3"/>
    <n v="0"/>
  </r>
  <r>
    <s v="L03-708-11"/>
    <s v="L03P05"/>
    <n v="60"/>
    <m/>
    <m/>
    <n v="708"/>
    <s v="L03"/>
    <n v="1"/>
    <n v="0"/>
    <s v="LAGUNA NIGUEL"/>
    <s v="SOUTH"/>
    <s v="San Juan Creek"/>
    <n v="17489.2002552429"/>
    <n v="7479567.9569291798"/>
    <n v="171.70778840682701"/>
    <n v="71"/>
    <n v="70"/>
    <n v="0"/>
    <n v="0"/>
    <n v="0"/>
    <n v="99"/>
    <n v="1"/>
    <n v="0"/>
    <n v="0"/>
    <n v="0"/>
    <n v="0"/>
    <n v="0"/>
    <n v="0"/>
    <n v="0"/>
    <n v="2"/>
    <n v="0.92500000000000004"/>
    <n v="0.06"/>
    <n v="1.75"/>
    <n v="3.8249999999999999E-2"/>
    <n v="0.14960000000000001"/>
    <n v="9.3924999999999995E-2"/>
    <x v="0"/>
    <m/>
    <m/>
    <x v="0"/>
    <s v="Apr- 7 - May- 4, 26 days"/>
    <n v="6.6242389999999996E-3"/>
    <n v="4.0000000000000001E-3"/>
    <n v="0.39615702899999999"/>
    <n v="0"/>
    <n v="0.10299999999999999"/>
    <n v="0.03"/>
    <n v="0"/>
    <n v="4.0000000000000001E-3"/>
    <n v="7.5"/>
    <n v="0"/>
    <n v="6.4652030000000001E-3"/>
    <n v="0.10199999999999999"/>
    <n v="4.0000000000000001E-3"/>
    <n v="0"/>
    <n v="7.0655170000000003E-3"/>
    <n v="0.10299999999999999"/>
    <n v="4.0000000000000001E-3"/>
    <n v="0"/>
  </r>
  <r>
    <s v="M02-015-1"/>
    <m/>
    <n v="36"/>
    <m/>
    <m/>
    <n v="15"/>
    <s v="M02"/>
    <n v="1"/>
    <n v="0"/>
    <s v="SAN CLEMENTE"/>
    <s v="SOUTH"/>
    <s v="San Clemente"/>
    <n v="8349.5871079938897"/>
    <n v="2870071.5464682099"/>
    <n v="65.887981852864797"/>
    <n v="9"/>
    <n v="9"/>
    <n v="0"/>
    <n v="0"/>
    <n v="0"/>
    <n v="0"/>
    <n v="0"/>
    <n v="0"/>
    <n v="0"/>
    <n v="0"/>
    <n v="0"/>
    <n v="0"/>
    <n v="100"/>
    <n v="0"/>
    <n v="1"/>
    <n v="0.5"/>
    <n v="0.04"/>
    <n v="2.60869565217391"/>
    <n v="4.4347826086956997E-2"/>
    <n v="4.4347826086956997E-2"/>
    <n v="4.4347826086956997E-2"/>
    <x v="1"/>
    <m/>
    <s v="Flowing"/>
    <x v="2"/>
    <s v="Jul-29 - Aug-15, 16 days"/>
    <n v="1.3269372999999999E-2"/>
    <n v="5.0000000000000001E-3"/>
    <n v="0.62319243599999996"/>
    <n v="0"/>
    <n v="0.16700000000000001"/>
    <n v="8.7499999999999994E-2"/>
    <n v="0"/>
    <n v="0"/>
    <n v="17.5"/>
    <n v="0"/>
    <n v="1.401619E-2"/>
    <n v="0.16700000000000001"/>
    <n v="5.0000000000000001E-3"/>
    <n v="0"/>
    <n v="1.1907986000000001E-2"/>
    <n v="0.156"/>
    <n v="5.0000000000000001E-3"/>
    <n v="0"/>
  </r>
  <r>
    <s v="J01-9046-2"/>
    <s v="J01@Normandale"/>
    <n v="42"/>
    <m/>
    <m/>
    <n v="9046"/>
    <s v="J01"/>
    <n v="1"/>
    <n v="0"/>
    <s v="LAKE FOREST"/>
    <s v="SOUTH"/>
    <s v="Aliso"/>
    <n v="6209.1484323688701"/>
    <n v="2019599.9272104499"/>
    <n v="46.3637791600827"/>
    <n v="69"/>
    <n v="69"/>
    <n v="0"/>
    <n v="0"/>
    <n v="0"/>
    <n v="0"/>
    <n v="0"/>
    <n v="0"/>
    <n v="99"/>
    <n v="1"/>
    <n v="0"/>
    <n v="0"/>
    <n v="0"/>
    <n v="0"/>
    <m/>
    <m/>
    <m/>
    <m/>
    <m/>
    <m/>
    <m/>
    <x v="0"/>
    <m/>
    <m/>
    <x v="0"/>
    <s v="Apr- 5 - May- 9, 33 days"/>
    <n v="1.6189631999999999E-2"/>
    <n v="6.0000000000000001E-3"/>
    <n v="0.62939243300000003"/>
    <n v="0"/>
    <n v="0.22500000000000001"/>
    <n v="0.02"/>
    <n v="2E-3"/>
    <n v="4.0000000000000001E-3"/>
    <n v="3.3333333330000001"/>
    <n v="0.33333333300000001"/>
    <n v="1.8920874000000001E-2"/>
    <n v="0.22500000000000001"/>
    <n v="6.0000000000000001E-3"/>
    <n v="0"/>
    <n v="7.4415139999999998E-3"/>
    <n v="0.11899999999999999"/>
    <n v="6.0000000000000001E-3"/>
    <n v="0"/>
  </r>
  <r>
    <s v="J01-9082-4"/>
    <m/>
    <n v="42"/>
    <m/>
    <m/>
    <n v="9082"/>
    <s v="J01"/>
    <n v="1"/>
    <n v="0"/>
    <s v="ALISO VIEJO"/>
    <s v="SOUTH"/>
    <s v="Aliso"/>
    <n v="10619.0299810373"/>
    <n v="5430205.8138061604"/>
    <n v="124.660760655133"/>
    <n v="84"/>
    <n v="82"/>
    <n v="98"/>
    <n v="0"/>
    <n v="0"/>
    <n v="0"/>
    <n v="0"/>
    <n v="0"/>
    <n v="0"/>
    <n v="0"/>
    <n v="2"/>
    <n v="0"/>
    <n v="0"/>
    <n v="0"/>
    <n v="1"/>
    <n v="0.7"/>
    <n v="0.06"/>
    <n v="1"/>
    <n v="3.5700000000000003E-2"/>
    <n v="3.5700000000000003E-2"/>
    <n v="3.5700000000000003E-2"/>
    <x v="0"/>
    <m/>
    <m/>
    <x v="0"/>
    <s v="Jun- 9 - Jun-24, 14 days"/>
    <n v="8.4742389999999997E-3"/>
    <n v="7.0000000000000001E-3"/>
    <n v="0.17396714099999999"/>
    <n v="0"/>
    <n v="5.5E-2"/>
    <n v="2.6499999999999999E-2"/>
    <n v="1.5E-3"/>
    <n v="7.0000000000000001E-3"/>
    <n v="3.7857142860000002"/>
    <n v="0.21428571399999999"/>
    <n v="8.6372059999999997E-3"/>
    <n v="5.5E-2"/>
    <n v="7.0000000000000001E-3"/>
    <n v="0"/>
    <n v="8.0468750000000002E-3"/>
    <n v="4.1000000000000002E-2"/>
    <n v="7.0000000000000001E-3"/>
    <n v="0"/>
  </r>
  <r>
    <s v="J01-9224-1"/>
    <s v="J01P24"/>
    <n v="54"/>
    <m/>
    <m/>
    <n v="9224"/>
    <s v="J01"/>
    <n v="1"/>
    <n v="0"/>
    <s v="LAGUNA NIGUEL"/>
    <s v="SOUTH"/>
    <s v="Aliso"/>
    <n v="14688.682923648201"/>
    <n v="9690643.8780673593"/>
    <n v="222.46726523817301"/>
    <n v="98"/>
    <n v="0"/>
    <n v="2"/>
    <n v="0"/>
    <n v="0"/>
    <n v="0"/>
    <n v="98"/>
    <n v="0"/>
    <n v="0"/>
    <n v="0"/>
    <n v="0"/>
    <n v="0"/>
    <n v="0"/>
    <n v="0"/>
    <n v="3"/>
    <n v="1.06666666666666"/>
    <n v="0.06"/>
    <n v="0.39285714285714302"/>
    <n v="1.7212499999999999E-2"/>
    <n v="2.8049999999999999E-2"/>
    <n v="2.1462499999999999E-2"/>
    <x v="1"/>
    <s v="Flowing"/>
    <s v="Flowing"/>
    <x v="3"/>
    <s v="Jul-20 - Aug- 3, 13 days"/>
    <n v="7.7319370000000004E-3"/>
    <n v="7.0000000000000001E-3"/>
    <n v="9.4664138999999994E-2"/>
    <n v="2E-3"/>
    <n v="1.7999999999999999E-2"/>
    <n v="1.4E-2"/>
    <n v="5.0000000000000001E-3"/>
    <n v="6.0000000000000001E-3"/>
    <n v="2"/>
    <n v="0.71428571399999996"/>
    <n v="7.7908550000000002E-3"/>
    <n v="1.7999999999999999E-2"/>
    <n v="7.0000000000000001E-3"/>
    <n v="2E-3"/>
    <n v="7.5954860000000003E-3"/>
    <n v="1.6E-2"/>
    <n v="7.0000000000000001E-3"/>
    <n v="4.0000000000000001E-3"/>
  </r>
  <r>
    <s v="K01-12058-1"/>
    <s v="K01P08"/>
    <n v="72"/>
    <m/>
    <m/>
    <n v="12058"/>
    <s v="K01"/>
    <n v="1"/>
    <n v="0"/>
    <s v="LAGUNA NIGUEL"/>
    <s v="SOUTH"/>
    <s v="Dana Point"/>
    <n v="18023.188275010001"/>
    <n v="14353905.304059399"/>
    <n v="329.52135055845798"/>
    <n v="68"/>
    <n v="64"/>
    <n v="0"/>
    <n v="0"/>
    <n v="0"/>
    <n v="0"/>
    <n v="98"/>
    <n v="0"/>
    <n v="0"/>
    <n v="0"/>
    <n v="0"/>
    <n v="0"/>
    <n v="0"/>
    <n v="2"/>
    <n v="3"/>
    <n v="0.8"/>
    <n v="4.6666666666667002E-2"/>
    <n v="2.6470588235294099"/>
    <n v="5.0999999999999997E-2"/>
    <n v="0.125"/>
    <n v="8.5866666666666994E-2"/>
    <x v="1"/>
    <s v="Flowing"/>
    <s v="Flowing"/>
    <x v="1"/>
    <s v="Jun-15 - Jun-29, 14 days"/>
    <n v="1.080297E-2"/>
    <n v="8.0000000000000002E-3"/>
    <n v="0.25946292700000001"/>
    <n v="0"/>
    <n v="9.7000000000000003E-2"/>
    <n v="4.2000000000000003E-2"/>
    <n v="0"/>
    <n v="0"/>
    <n v="5.25"/>
    <n v="0"/>
    <n v="1.1493767E-2"/>
    <n v="9.7000000000000003E-2"/>
    <n v="8.0000000000000002E-3"/>
    <n v="0"/>
    <n v="9.0711809999999993E-3"/>
    <n v="9.4E-2"/>
    <n v="8.0000000000000002E-3"/>
    <n v="0"/>
  </r>
  <r>
    <s v="J03-9215-3"/>
    <m/>
    <n v="54"/>
    <m/>
    <m/>
    <n v="9215"/>
    <s v="J03"/>
    <n v="1"/>
    <n v="0"/>
    <s v="LAGUNA NIGUEL"/>
    <s v="SOUTH"/>
    <s v="Aliso"/>
    <n v="12703.1876113652"/>
    <n v="6764304.9039294403"/>
    <n v="155.28755696205201"/>
    <n v="91"/>
    <n v="89"/>
    <n v="0"/>
    <n v="0"/>
    <n v="0"/>
    <n v="0"/>
    <n v="100"/>
    <n v="0"/>
    <n v="0"/>
    <n v="0"/>
    <n v="0"/>
    <n v="0"/>
    <n v="0"/>
    <n v="0"/>
    <n v="3"/>
    <n v="0.57333333333333303"/>
    <n v="0.03"/>
    <n v="1.8333333333333299"/>
    <n v="1.7000000000000001E-2"/>
    <n v="4.0800000000000003E-2"/>
    <n v="2.7171666666667E-2"/>
    <x v="1"/>
    <s v="Flowing"/>
    <s v="Flowing"/>
    <x v="3"/>
    <s v="Jul-12 - Jul-26, 13 days"/>
    <n v="1.3396345E-2"/>
    <n v="0.01"/>
    <n v="0.25352770800000002"/>
    <n v="1E-3"/>
    <n v="0.36899999999999999"/>
    <n v="0.184"/>
    <n v="2E-3"/>
    <n v="4.0000000000000001E-3"/>
    <n v="18.399999999999899"/>
    <n v="0.2"/>
    <n v="1.2847643000000001E-2"/>
    <n v="0.33700000000000002"/>
    <n v="8.9999999999999993E-3"/>
    <n v="1E-3"/>
    <n v="1.4749999999999999E-2"/>
    <n v="0.36899999999999999"/>
    <n v="0.01"/>
    <n v="2E-3"/>
  </r>
  <r>
    <s v="K01-12155-5"/>
    <m/>
    <n v="48"/>
    <m/>
    <m/>
    <n v="12155"/>
    <s v="K01"/>
    <n v="1"/>
    <n v="0"/>
    <s v="LAGUNA NIGUEL"/>
    <s v="SOUTH"/>
    <s v="Dana Point"/>
    <n v="14603.3699214347"/>
    <n v="6405284.2062949203"/>
    <n v="147.045550159241"/>
    <n v="48"/>
    <n v="48"/>
    <n v="0"/>
    <n v="0"/>
    <n v="0"/>
    <n v="0"/>
    <n v="100"/>
    <n v="0"/>
    <n v="0"/>
    <n v="0"/>
    <n v="0"/>
    <n v="0"/>
    <n v="0"/>
    <n v="0"/>
    <n v="2"/>
    <n v="0.8"/>
    <n v="9.5000000000000001E-2"/>
    <n v="1.875"/>
    <n v="5.0999999999999997E-2"/>
    <n v="0.1051875"/>
    <n v="7.8093750000000003E-2"/>
    <x v="0"/>
    <m/>
    <m/>
    <x v="0"/>
    <s v="Aug- 3 - Aug-17, 14 days"/>
    <n v="1.2748479E-2"/>
    <n v="1.0999999999999999E-2"/>
    <n v="0.137151949"/>
    <n v="0"/>
    <n v="0.112"/>
    <n v="6.2E-2"/>
    <n v="0"/>
    <n v="4.0000000000000001E-3"/>
    <n v="5.6363636359999996"/>
    <n v="0"/>
    <n v="1.2451289000000001E-2"/>
    <n v="8.8999999999999996E-2"/>
    <n v="0.01"/>
    <n v="0"/>
    <n v="1.346875E-2"/>
    <n v="0.112"/>
    <n v="1.2E-2"/>
    <n v="0"/>
  </r>
  <r>
    <s v="K01-12058-2"/>
    <s v="K01P09"/>
    <n v="72"/>
    <m/>
    <m/>
    <n v="12058"/>
    <s v="K01"/>
    <n v="1"/>
    <n v="0"/>
    <s v="LAGUNA NIGUEL"/>
    <s v="SOUTH"/>
    <s v="Dana Point"/>
    <n v="16685.265945506198"/>
    <n v="12606326.933501"/>
    <n v="289.402346519167"/>
    <n v="46"/>
    <n v="44"/>
    <n v="0"/>
    <n v="0"/>
    <n v="0"/>
    <n v="0"/>
    <n v="97"/>
    <n v="0"/>
    <n v="0"/>
    <n v="0"/>
    <n v="0"/>
    <n v="0"/>
    <n v="0"/>
    <n v="3"/>
    <n v="3"/>
    <n v="0.56999999999999995"/>
    <n v="4.3333333333333002E-2"/>
    <n v="1.5"/>
    <n v="1.5299999999999999E-2"/>
    <n v="5.0999999999999997E-2"/>
    <n v="3.2937500000000001E-2"/>
    <x v="1"/>
    <s v="Flowing"/>
    <s v="Flowing"/>
    <x v="3"/>
    <s v="Jun-15 - Jun-29, 14 days"/>
    <n v="2.6951732999999999E-2"/>
    <n v="1.2999999999999999E-2"/>
    <n v="0.51765624300000002"/>
    <n v="0"/>
    <n v="0.434"/>
    <n v="0.13800000000000001"/>
    <n v="0"/>
    <n v="0"/>
    <n v="10.61538462"/>
    <n v="0"/>
    <n v="2.8715028E-2"/>
    <n v="0.34300000000000003"/>
    <n v="1.4999999999999999E-2"/>
    <n v="0"/>
    <n v="2.2531249999999999E-2"/>
    <n v="0.434"/>
    <n v="7.0000000000000001E-3"/>
    <n v="0"/>
  </r>
  <r>
    <s v="J07-9109-4"/>
    <s v="J07P02"/>
    <n v="78"/>
    <m/>
    <m/>
    <n v="9109"/>
    <s v="J07"/>
    <n v="1"/>
    <n v="0"/>
    <s v="MISSION VIEJO"/>
    <s v="SOUTH"/>
    <s v="Aliso"/>
    <n v="23940.076970886799"/>
    <n v="16663846.814778799"/>
    <n v="382.550476096024"/>
    <n v="89"/>
    <n v="66"/>
    <n v="0"/>
    <n v="0"/>
    <n v="0"/>
    <n v="0"/>
    <n v="0"/>
    <n v="0"/>
    <n v="1"/>
    <n v="99"/>
    <n v="0"/>
    <n v="0"/>
    <n v="0"/>
    <n v="0"/>
    <n v="5"/>
    <n v="3.08"/>
    <n v="0.13100000000000001"/>
    <n v="1.1510460251046"/>
    <n v="1.1900000000000001E-2"/>
    <n v="6.4016736401673597"/>
    <n v="1.3060472280334701"/>
    <x v="1"/>
    <s v="Dry"/>
    <s v="Flowing"/>
    <x v="2"/>
    <s v="Apr-13 - May- 9, 26 days"/>
    <n v="1.8302004E-2"/>
    <n v="1.4E-2"/>
    <n v="0.235056443"/>
    <n v="0"/>
    <n v="0.621"/>
    <n v="6.5500000000000003E-2"/>
    <n v="1E-3"/>
    <n v="1.2999999999999999E-2"/>
    <n v="4.6785714289999998"/>
    <n v="7.1428570999999996E-2"/>
    <n v="1.7502991999999998E-2"/>
    <n v="0.122"/>
    <n v="1.4999999999999999E-2"/>
    <n v="0"/>
    <n v="2.0760644000000002E-2"/>
    <n v="0.621"/>
    <n v="1.2999999999999999E-2"/>
    <n v="0"/>
  </r>
  <r>
    <s v="J06-9079-1"/>
    <m/>
    <n v="78"/>
    <m/>
    <m/>
    <n v="9079"/>
    <s v="J06"/>
    <n v="1"/>
    <n v="0"/>
    <s v="ALISO VIEJO"/>
    <s v="SOUTH"/>
    <s v="Aliso"/>
    <n v="24803.009680956398"/>
    <n v="15933637.4250293"/>
    <n v="365.78712290372903"/>
    <n v="79"/>
    <n v="59"/>
    <n v="100"/>
    <n v="0"/>
    <n v="0"/>
    <n v="0"/>
    <n v="0"/>
    <n v="0"/>
    <n v="0"/>
    <n v="0"/>
    <n v="0"/>
    <n v="0"/>
    <n v="0"/>
    <n v="0"/>
    <n v="4"/>
    <n v="0.92500000000000004"/>
    <n v="3.7499999999999999E-2"/>
    <n v="1.2083333333333299"/>
    <n v="3.4000000000000002E-2"/>
    <n v="3.6266666666667002E-2"/>
    <n v="3.4672916666666997E-2"/>
    <x v="1"/>
    <s v="Flowing"/>
    <s v="Flowing"/>
    <x v="1"/>
    <s v="Jun-24 - Jul-11, 16 days"/>
    <n v="1.7901121999999998E-2"/>
    <n v="1.6E-2"/>
    <n v="0.106201263"/>
    <n v="5.0000000000000001E-3"/>
    <n v="8.5999999999999993E-2"/>
    <n v="4.9500000000000002E-2"/>
    <n v="8.0000000000000002E-3"/>
    <n v="1.4E-2"/>
    <n v="3.09375"/>
    <n v="0.5"/>
    <n v="1.9316591000000001E-2"/>
    <n v="8.5999999999999993E-2"/>
    <n v="1.7000000000000001E-2"/>
    <n v="6.0000000000000001E-3"/>
    <n v="1.5373263999999999E-2"/>
    <n v="5.1999999999999998E-2"/>
    <n v="1.4E-2"/>
    <n v="5.0000000000000001E-3"/>
  </r>
  <r>
    <s v="L01-724-4"/>
    <s v="L01P03"/>
    <n v="96"/>
    <m/>
    <m/>
    <n v="724"/>
    <s v="L01"/>
    <n v="1"/>
    <n v="0"/>
    <s v="SAN JUAN CAPISTRANO"/>
    <s v="SOUTH"/>
    <s v="San Juan Creek"/>
    <n v="25255.889853356101"/>
    <n v="15901177.490108101"/>
    <n v="365.04194301242501"/>
    <n v="66"/>
    <n v="55"/>
    <n v="0"/>
    <n v="0"/>
    <n v="0"/>
    <n v="0"/>
    <n v="27"/>
    <n v="0"/>
    <n v="0"/>
    <n v="0"/>
    <n v="0"/>
    <n v="0"/>
    <n v="0"/>
    <n v="73"/>
    <n v="2"/>
    <n v="0.92500000000000004"/>
    <n v="4.2500000000000003E-2"/>
    <n v="1.35"/>
    <n v="3.0345E-2"/>
    <n v="6.3750000000000001E-2"/>
    <n v="4.7047499999999999E-2"/>
    <x v="0"/>
    <m/>
    <m/>
    <x v="0"/>
    <s v="Mar-17 - Mar-21, 3 days"/>
    <n v="2.6163539E-2"/>
    <n v="1.6E-2"/>
    <n v="0.38846193299999998"/>
    <n v="0"/>
    <n v="0.372"/>
    <n v="3.2000000000000001E-2"/>
    <n v="1E-3"/>
    <n v="1.2999999999999999E-2"/>
    <n v="2"/>
    <n v="6.25E-2"/>
    <n v="1.5558011E-2"/>
    <n v="3.7999999999999999E-2"/>
    <n v="1.6E-2"/>
    <n v="0"/>
    <n v="3.6161458E-2"/>
    <n v="0.372"/>
    <n v="1.6E-2"/>
    <n v="0"/>
  </r>
  <r>
    <s v="L03-141-1"/>
    <m/>
    <n v="84"/>
    <m/>
    <m/>
    <n v="141"/>
    <s v="L03"/>
    <n v="1"/>
    <n v="0"/>
    <s v="MISSION VIEJO"/>
    <s v="SOUTH"/>
    <s v="San Juan Creek"/>
    <n v="38367.529706358"/>
    <n v="37305715.486433402"/>
    <n v="856.42405256516099"/>
    <n v="24"/>
    <n v="12"/>
    <n v="0"/>
    <n v="0"/>
    <n v="0"/>
    <n v="0"/>
    <n v="0"/>
    <n v="0"/>
    <n v="0"/>
    <n v="27"/>
    <n v="39"/>
    <n v="34"/>
    <n v="0"/>
    <n v="0"/>
    <n v="2"/>
    <n v="1.05"/>
    <n v="0.06"/>
    <n v="0.24620060790273601"/>
    <n v="4.3714285714289997E-3"/>
    <n v="8.3010638297870004E-3"/>
    <n v="6.3362462006080001E-3"/>
    <x v="1"/>
    <m/>
    <s v="Flowing"/>
    <x v="2"/>
    <s v="Jun- 2 - Jun-14, 12 days"/>
    <n v="2.0824537000000001E-2"/>
    <n v="1.6E-2"/>
    <n v="0.23167560800000001"/>
    <n v="0"/>
    <n v="0.254"/>
    <n v="7.5999999999999998E-2"/>
    <n v="3.0000000000000001E-3"/>
    <n v="1.2E-2"/>
    <n v="4.75"/>
    <n v="0.1875"/>
    <n v="2.0912666E-2"/>
    <n v="0.254"/>
    <n v="1.6E-2"/>
    <n v="0"/>
    <n v="2.0644791999999999E-2"/>
    <n v="0.158"/>
    <n v="1.7999999999999999E-2"/>
    <n v="0"/>
  </r>
  <r>
    <s v="J01-9224-2"/>
    <s v="J01P25"/>
    <n v="39"/>
    <m/>
    <m/>
    <n v="9224"/>
    <s v="J01"/>
    <n v="1"/>
    <n v="0"/>
    <s v="LAGUNA NIGUEL"/>
    <s v="SOUTH"/>
    <s v="Aliso"/>
    <n v="14688.682923648201"/>
    <n v="9690643.8780673593"/>
    <n v="222.46726523817301"/>
    <n v="98"/>
    <n v="0"/>
    <n v="2"/>
    <n v="0"/>
    <n v="0"/>
    <n v="0"/>
    <n v="98"/>
    <n v="0"/>
    <n v="0"/>
    <n v="0"/>
    <n v="0"/>
    <n v="0"/>
    <n v="0"/>
    <n v="0"/>
    <n v="3"/>
    <n v="0.8"/>
    <n v="6.3333333333333006E-2"/>
    <n v="1.7333333333333301"/>
    <n v="4.0800000000000003E-2"/>
    <n v="0.12239999999999999"/>
    <n v="7.3440000000000005E-2"/>
    <x v="1"/>
    <s v="Flowing"/>
    <s v="Flowing"/>
    <x v="3"/>
    <s v="Jul-27 - Aug-11, 14 days"/>
    <n v="2.0631579000000001E-2"/>
    <n v="2.1000000000000001E-2"/>
    <n v="-1.7857142999999999E-2"/>
    <n v="1.7999999999999999E-2"/>
    <n v="2.4E-2"/>
    <n v="2.3E-2"/>
    <n v="1.9E-2"/>
    <n v="0.02"/>
    <n v="1.095238095"/>
    <n v="0.90476190499999998"/>
    <n v="2.0610894000000001E-2"/>
    <n v="2.4E-2"/>
    <n v="2.1000000000000001E-2"/>
    <n v="1.7999999999999999E-2"/>
    <n v="2.0686632E-2"/>
    <n v="2.3E-2"/>
    <n v="2.1000000000000001E-2"/>
    <n v="1.9E-2"/>
  </r>
  <r>
    <s v="L02-246-1"/>
    <s v="L11P01"/>
    <n v="66"/>
    <m/>
    <m/>
    <n v="640"/>
    <s v="L02"/>
    <n v="1"/>
    <n v="0"/>
    <s v="RANCHO SANTA MARGARITA"/>
    <s v="SOUTH"/>
    <s v="San Juan Creek"/>
    <n v="15443.3881386796"/>
    <n v="9932960.3262872808"/>
    <n v="228.030102778795"/>
    <n v="95"/>
    <n v="86"/>
    <n v="0"/>
    <n v="0"/>
    <n v="0"/>
    <n v="0"/>
    <n v="0"/>
    <n v="0"/>
    <n v="0"/>
    <n v="0"/>
    <n v="0"/>
    <n v="100"/>
    <n v="0"/>
    <n v="0"/>
    <n v="2"/>
    <n v="0.97499999999999998"/>
    <n v="0.08"/>
    <n v="0.75"/>
    <n v="2.9006250000000001E-2"/>
    <n v="7.4587500000000001E-2"/>
    <n v="5.1796874999999999E-2"/>
    <x v="1"/>
    <s v="Flowing"/>
    <s v="Flowing"/>
    <x v="1"/>
    <s v="Jun-16 - Jun-30, 13 days"/>
    <n v="2.7654410000000001E-2"/>
    <n v="2.7E-2"/>
    <n v="2.366385E-2"/>
    <n v="7.0000000000000001E-3"/>
    <n v="6.7000000000000004E-2"/>
    <n v="5.0999999999999997E-2"/>
    <n v="1.7999999999999999E-2"/>
    <n v="2.4E-2"/>
    <n v="1.888888889"/>
    <n v="0.66666666699999999"/>
    <n v="2.7839789E-2"/>
    <n v="6.7000000000000004E-2"/>
    <n v="2.8000000000000001E-2"/>
    <n v="7.0000000000000001E-3"/>
    <n v="2.7203839E-2"/>
    <n v="6.0999999999999999E-2"/>
    <n v="2.5999999999999999E-2"/>
    <n v="1.0999999999999999E-2"/>
  </r>
  <r>
    <s v="J03-9234-6"/>
    <m/>
    <n v="78"/>
    <m/>
    <m/>
    <n v="9234"/>
    <s v="J03"/>
    <n v="1"/>
    <n v="0"/>
    <s v="LAGUNA NIGUEL"/>
    <s v="SOUTH"/>
    <s v="Aliso"/>
    <n v="20544.948683509101"/>
    <n v="10109842.9494379"/>
    <n v="232.090781711548"/>
    <n v="89"/>
    <n v="86"/>
    <n v="0"/>
    <n v="0"/>
    <n v="0"/>
    <n v="0"/>
    <n v="99"/>
    <n v="0"/>
    <n v="0"/>
    <n v="0"/>
    <n v="0"/>
    <n v="0"/>
    <n v="0"/>
    <n v="1"/>
    <n v="2"/>
    <n v="1.05"/>
    <n v="0.78500000000000003"/>
    <n v="2.8571428571428501"/>
    <n v="0.12239999999999999"/>
    <n v="4.59"/>
    <n v="2.3561999999999999"/>
    <x v="2"/>
    <s v="Flowing"/>
    <s v="Flowing"/>
    <x v="1"/>
    <s v="Aug- 3 - Aug-17, 13 days"/>
    <n v="4.2776977000000001E-2"/>
    <n v="3.5999999999999997E-2"/>
    <n v="0.15842579700000001"/>
    <n v="0"/>
    <n v="0.33100000000000002"/>
    <n v="0.14099999999999999"/>
    <n v="3.0000000000000001E-3"/>
    <n v="0.02"/>
    <n v="3.9166666669999999"/>
    <n v="8.3333332999999996E-2"/>
    <n v="3.9260976000000003E-2"/>
    <n v="0.33100000000000002"/>
    <n v="3.4000000000000002E-2"/>
    <n v="0"/>
    <n v="5.1536458E-2"/>
    <n v="0.185"/>
    <n v="4.1000000000000002E-2"/>
    <n v="0"/>
  </r>
  <r>
    <s v="L03-662-3"/>
    <s v="L03P16"/>
    <n v="60"/>
    <m/>
    <m/>
    <n v="662"/>
    <s v="L03"/>
    <n v="1"/>
    <n v="0"/>
    <s v="MISSION VIEJO"/>
    <s v="SOUTH"/>
    <s v="San Juan Creek"/>
    <n v="31558.079220043601"/>
    <n v="20345404.107941199"/>
    <n v="467.067665369812"/>
    <n v="67"/>
    <n v="63"/>
    <n v="0"/>
    <n v="0"/>
    <n v="0"/>
    <n v="0"/>
    <n v="0"/>
    <n v="0"/>
    <n v="0"/>
    <n v="100"/>
    <n v="0"/>
    <n v="0"/>
    <n v="0"/>
    <n v="0"/>
    <n v="2"/>
    <n v="0.95"/>
    <n v="0.05"/>
    <n v="1.6875"/>
    <n v="5.7375000000000002E-2"/>
    <n v="7.6499999999999999E-2"/>
    <n v="6.6937499999999997E-2"/>
    <x v="1"/>
    <m/>
    <s v="Flowing"/>
    <x v="2"/>
    <s v="May-31 - Jun-14, 13 days"/>
    <n v="4.1715336999999998E-2"/>
    <n v="3.6999999999999998E-2"/>
    <n v="0.11303606099999999"/>
    <n v="0"/>
    <n v="0.125"/>
    <n v="9.1999999999999998E-2"/>
    <n v="1.4999999999999999E-2"/>
    <n v="2.5000000000000001E-2"/>
    <n v="2.486486486"/>
    <n v="0.405405405"/>
    <n v="4.5379564999999997E-2"/>
    <n v="0.125"/>
    <n v="0.04"/>
    <n v="0"/>
    <n v="3.2936458000000002E-2"/>
    <n v="0.1"/>
    <n v="3.2000000000000001E-2"/>
    <n v="1.2999999999999999E-2"/>
  </r>
  <r>
    <s v="L03-418-8"/>
    <m/>
    <n v="66"/>
    <m/>
    <m/>
    <n v="418"/>
    <s v="L03"/>
    <n v="1"/>
    <n v="0"/>
    <s v="LAGUNA NIGUEL"/>
    <s v="SOUTH"/>
    <s v="San Juan Creek"/>
    <n v="18928.911719135602"/>
    <n v="9171460.67367284"/>
    <n v="210.54842175444401"/>
    <n v="91"/>
    <n v="37"/>
    <n v="0"/>
    <n v="0"/>
    <n v="0"/>
    <n v="0"/>
    <n v="10"/>
    <n v="0"/>
    <n v="0"/>
    <n v="90"/>
    <n v="0"/>
    <n v="0"/>
    <n v="0"/>
    <n v="0"/>
    <n v="3"/>
    <n v="1.31666666666666"/>
    <n v="6.3333333333333006E-2"/>
    <n v="1.0249999999999999"/>
    <n v="4.335E-2"/>
    <n v="7.3440000000000005E-2"/>
    <n v="6.1242499999999998E-2"/>
    <x v="1"/>
    <s v="Flowing"/>
    <s v="Flowing"/>
    <x v="1"/>
    <s v="Jun-16 - Jun-30, 13 days"/>
    <n v="5.2325516000000002E-2"/>
    <n v="3.7999999999999999E-2"/>
    <n v="0.27377687299999998"/>
    <n v="0"/>
    <n v="1.01"/>
    <n v="0.17699999999999999"/>
    <n v="7.0000000000000001E-3"/>
    <n v="1.9E-2"/>
    <n v="4.6578947370000003"/>
    <n v="0.18421052600000001"/>
    <n v="5.3454185000000001E-2"/>
    <n v="0.81699999999999995"/>
    <n v="0.04"/>
    <n v="0"/>
    <n v="4.9607298000000001E-2"/>
    <n v="1.01"/>
    <n v="3.3000000000000002E-2"/>
    <n v="0"/>
  </r>
  <r>
    <s v="M01-050-4"/>
    <s v="M01@CGV"/>
    <n v="48"/>
    <m/>
    <m/>
    <n v="50"/>
    <s v="M01"/>
    <n v="1"/>
    <n v="0"/>
    <s v="SAN CLEMENTE"/>
    <s v="SOUTH"/>
    <s v="San Clemente"/>
    <n v="71834.500981378194"/>
    <n v="163657395.21656099"/>
    <n v="3757.0685300110699"/>
    <n v="47"/>
    <n v="33"/>
    <n v="0"/>
    <n v="0"/>
    <n v="0"/>
    <n v="0"/>
    <n v="0"/>
    <n v="0"/>
    <n v="0"/>
    <n v="0"/>
    <n v="17"/>
    <n v="0"/>
    <n v="62"/>
    <n v="21"/>
    <n v="2"/>
    <n v="0.8"/>
    <n v="3.2500000000000001E-2"/>
    <n v="1.125"/>
    <n v="1.115625E-2"/>
    <n v="4.5900000000000003E-2"/>
    <n v="2.8528125000000001E-2"/>
    <x v="0"/>
    <m/>
    <m/>
    <x v="0"/>
    <s v="Jul-19 - Aug- 1, 12 days"/>
    <n v="4.3891215999999997E-2"/>
    <n v="4.2999999999999997E-2"/>
    <n v="2.0305103000000001E-2"/>
    <n v="1.2E-2"/>
    <n v="0.11899999999999999"/>
    <n v="8.7499999999999994E-2"/>
    <n v="1.9E-2"/>
    <n v="2.9000000000000001E-2"/>
    <n v="2.0348837209999999"/>
    <n v="0.44186046499999998"/>
    <n v="4.2498613999999997E-2"/>
    <n v="0.11899999999999999"/>
    <n v="4.2999999999999997E-2"/>
    <n v="1.2E-2"/>
    <n v="4.6943576000000001E-2"/>
    <n v="0.1"/>
    <n v="4.3999999999999997E-2"/>
    <n v="1.9E-2"/>
  </r>
  <r>
    <s v="L02-166-2"/>
    <s v="L02P25"/>
    <n v="90"/>
    <m/>
    <m/>
    <n v="166"/>
    <s v="L02"/>
    <n v="1"/>
    <n v="0"/>
    <s v="RANCHO SANTA MARGARITA"/>
    <s v="SOUTH"/>
    <s v="San Juan Creek"/>
    <n v="24414.986770187199"/>
    <n v="16057343.476462699"/>
    <n v="368.62703192340501"/>
    <n v="88"/>
    <n v="87"/>
    <n v="0"/>
    <n v="0"/>
    <n v="0"/>
    <n v="0"/>
    <n v="0"/>
    <n v="0"/>
    <n v="0"/>
    <n v="33"/>
    <n v="0"/>
    <n v="67"/>
    <n v="0"/>
    <n v="0"/>
    <n v="1"/>
    <n v="1.54"/>
    <n v="0.06"/>
    <n v="1"/>
    <n v="7.8539999999999999E-2"/>
    <n v="7.8539999999999999E-2"/>
    <n v="7.8539999999999999E-2"/>
    <x v="0"/>
    <m/>
    <m/>
    <x v="0"/>
    <s v="Apr- 6 - May- 3, 27 days"/>
    <n v="5.2055789999999998E-2"/>
    <n v="0.05"/>
    <n v="3.9492054999999998E-2"/>
    <n v="4.0000000000000001E-3"/>
    <n v="0.44"/>
    <n v="0.11899999999999999"/>
    <n v="1.2999999999999999E-2"/>
    <n v="6.6000000000000003E-2"/>
    <n v="2.38"/>
    <n v="0.26"/>
    <n v="5.1021258999999999E-2"/>
    <n v="0.44"/>
    <n v="0.05"/>
    <n v="4.0000000000000001E-3"/>
    <n v="5.4964368E-2"/>
    <n v="0.4"/>
    <n v="5.0999999999999997E-2"/>
    <n v="5.0000000000000001E-3"/>
  </r>
  <r>
    <s v="M02-085-1"/>
    <s v="M02P06"/>
    <n v="48"/>
    <m/>
    <m/>
    <n v="85"/>
    <s v="M02"/>
    <n v="1"/>
    <n v="0"/>
    <s v="SAN CLEMENTE"/>
    <s v="SOUTH"/>
    <s v="San Clemente"/>
    <n v="22182.308562730799"/>
    <n v="16230277.496748401"/>
    <n v="372.59706312501299"/>
    <n v="50"/>
    <n v="48"/>
    <n v="0"/>
    <n v="0"/>
    <n v="0"/>
    <n v="0"/>
    <n v="0"/>
    <n v="0"/>
    <n v="0"/>
    <n v="0"/>
    <n v="0"/>
    <n v="0"/>
    <n v="100"/>
    <n v="0"/>
    <n v="2"/>
    <n v="0.6"/>
    <n v="3.7499999999999999E-2"/>
    <n v="1.6666666666666601"/>
    <n v="2.7199999999999998E-2"/>
    <n v="3.5700000000000003E-2"/>
    <n v="3.1449999999999999E-2"/>
    <x v="1"/>
    <s v="Flowing"/>
    <s v="Flowing"/>
    <x v="1"/>
    <s v="Jul-15 - Jul-29, 13 days"/>
    <n v="5.6779574999999999E-2"/>
    <n v="0.05"/>
    <n v="0.11940165599999999"/>
    <n v="0"/>
    <n v="0.23599999999999999"/>
    <n v="0.13800000000000001"/>
    <n v="1.2999999999999999E-2"/>
    <n v="0.04"/>
    <n v="2.76"/>
    <n v="0.26"/>
    <n v="5.8271755000000001E-2"/>
    <n v="0.22"/>
    <n v="5.1999999999999998E-2"/>
    <n v="0"/>
    <n v="5.3147568999999999E-2"/>
    <n v="0.23599999999999999"/>
    <n v="4.8000000000000001E-2"/>
    <n v="3.0000000000000001E-3"/>
  </r>
  <r>
    <s v="J01-9005-1"/>
    <s v="J03P05"/>
    <n v="54"/>
    <m/>
    <m/>
    <n v="9005"/>
    <s v="J01"/>
    <n v="1"/>
    <n v="0"/>
    <s v="LAGUNA NIGUEL"/>
    <s v="SOUTH"/>
    <s v="Aliso"/>
    <n v="13737.5431672248"/>
    <n v="5566534.2872691201"/>
    <n v="127.790441515043"/>
    <n v="81"/>
    <n v="81"/>
    <n v="0"/>
    <n v="0"/>
    <n v="0"/>
    <n v="0"/>
    <n v="100"/>
    <n v="0"/>
    <n v="0"/>
    <n v="0"/>
    <n v="0"/>
    <n v="0"/>
    <n v="0"/>
    <n v="0"/>
    <n v="3"/>
    <n v="0.76666666666666705"/>
    <n v="0.03"/>
    <n v="1.0888888888888799"/>
    <n v="1.3599999999999999E-2"/>
    <n v="2.0400000000000001E-2"/>
    <n v="1.7000000000000001E-2"/>
    <x v="1"/>
    <s v="Flowing"/>
    <s v="Flowing"/>
    <x v="3"/>
    <s v="Jul-12 - Jul-26, 13 days"/>
    <n v="5.7142635999999997E-2"/>
    <n v="5.3999999999999999E-2"/>
    <n v="5.4996344000000003E-2"/>
    <n v="8.9999999999999993E-3"/>
    <n v="0.21099999999999999"/>
    <n v="0.14099999999999999"/>
    <n v="1.9E-2"/>
    <n v="7.5999999999999998E-2"/>
    <n v="2.611111111"/>
    <n v="0.35185185200000002"/>
    <n v="5.8122568999999999E-2"/>
    <n v="0.21099999999999999"/>
    <n v="5.3999999999999999E-2"/>
    <n v="8.9999999999999993E-3"/>
    <n v="5.4824653000000001E-2"/>
    <n v="0.157"/>
    <n v="5.1999999999999998E-2"/>
    <n v="1.4E-2"/>
  </r>
  <r>
    <s v="J01-9082-2"/>
    <m/>
    <n v="72"/>
    <m/>
    <m/>
    <n v="9082"/>
    <s v="J01"/>
    <n v="1"/>
    <n v="0"/>
    <s v="ALISO VIEJO"/>
    <s v="SOUTH"/>
    <s v="Aliso"/>
    <n v="10619.0299810373"/>
    <n v="5430205.8138061604"/>
    <n v="124.660760655133"/>
    <n v="84"/>
    <n v="82"/>
    <n v="98"/>
    <n v="0"/>
    <n v="0"/>
    <n v="0"/>
    <n v="0"/>
    <n v="0"/>
    <n v="0"/>
    <n v="0"/>
    <n v="2"/>
    <n v="0"/>
    <n v="0"/>
    <n v="0"/>
    <n v="1"/>
    <n v="1.7"/>
    <n v="0.14000000000000001"/>
    <n v="1.5"/>
    <n v="0.30345"/>
    <n v="0.30345"/>
    <n v="0.30345"/>
    <x v="0"/>
    <m/>
    <m/>
    <x v="0"/>
    <s v="Jun- 9 - Jun-24, 14 days"/>
    <n v="6.4249941000000005E-2"/>
    <n v="5.8999999999999997E-2"/>
    <n v="8.1711215000000004E-2"/>
    <n v="2E-3"/>
    <n v="0.30199999999999999"/>
    <n v="0.13200000000000001"/>
    <n v="1.4E-2"/>
    <n v="4.9000000000000002E-2"/>
    <n v="2.2372881360000001"/>
    <n v="0.23728813600000001"/>
    <n v="6.1764436999999998E-2"/>
    <n v="0.30199999999999999"/>
    <n v="5.8999999999999997E-2"/>
    <n v="2E-3"/>
    <n v="7.0862847000000007E-2"/>
    <n v="0.27800000000000002"/>
    <n v="5.8500000000000003E-2"/>
    <n v="8.0000000000000002E-3"/>
  </r>
  <r>
    <s v="L02-374-1"/>
    <s v="L02P50"/>
    <n v="102"/>
    <m/>
    <m/>
    <n v="374"/>
    <s v="L02"/>
    <n v="1"/>
    <n v="0"/>
    <s v="ORANGE CO"/>
    <s v="SOUTH"/>
    <s v="San Juan Creek"/>
    <n v="26436.379007568099"/>
    <n v="19708226.332956798"/>
    <n v="452.44003083335502"/>
    <n v="62"/>
    <n v="52"/>
    <n v="0"/>
    <n v="0"/>
    <n v="0"/>
    <n v="0"/>
    <n v="0"/>
    <n v="0"/>
    <n v="0"/>
    <n v="0"/>
    <n v="100"/>
    <n v="0"/>
    <n v="0"/>
    <n v="0"/>
    <n v="1"/>
    <n v="1.1399999999999999"/>
    <n v="0.4"/>
    <n v="1.5"/>
    <n v="0.58140000000000003"/>
    <n v="0.58140000000000003"/>
    <n v="0.58140000000000003"/>
    <x v="1"/>
    <s v="Flowing"/>
    <s v="Flowing"/>
    <x v="1"/>
    <s v="May-25 - Jun- 8, 13 days"/>
    <n v="6.7563718999999994E-2"/>
    <n v="6.2E-2"/>
    <n v="8.2347735000000005E-2"/>
    <n v="0"/>
    <n v="0.32500000000000001"/>
    <n v="0.217"/>
    <n v="8.0000000000000002E-3"/>
    <n v="7.1999999999999995E-2"/>
    <n v="3.5"/>
    <n v="0.12903225800000001"/>
    <n v="6.7068336000000006E-2"/>
    <n v="0.32500000000000001"/>
    <n v="6.2E-2"/>
    <n v="0"/>
    <n v="6.8765624999999997E-2"/>
    <n v="0.24199999999999999"/>
    <n v="6.0999999999999999E-2"/>
    <n v="6.0000000000000001E-3"/>
  </r>
  <r>
    <s v="J01-9007-1"/>
    <m/>
    <n v="66"/>
    <m/>
    <m/>
    <n v="9007"/>
    <s v="J01"/>
    <n v="1"/>
    <n v="0"/>
    <s v="ALISO VIEJO"/>
    <s v="SOUTH"/>
    <s v="Aliso"/>
    <n v="12832.363038887301"/>
    <n v="6342864.1189773902"/>
    <n v="145.61257766575201"/>
    <n v="87"/>
    <n v="78"/>
    <n v="98"/>
    <n v="0"/>
    <n v="0"/>
    <n v="0"/>
    <n v="0"/>
    <n v="0"/>
    <n v="0"/>
    <n v="0"/>
    <n v="2"/>
    <n v="0"/>
    <n v="0"/>
    <n v="0"/>
    <n v="3"/>
    <n v="0.8"/>
    <n v="0.05"/>
    <n v="2.5362318840579698"/>
    <n v="5.0999999999999997E-2"/>
    <n v="0.113086956521739"/>
    <n v="8.8695652173912995E-2"/>
    <x v="1"/>
    <s v="Flowing"/>
    <s v="Flowing"/>
    <x v="2"/>
    <s v="Jun-10 - Jun-24, 13 days"/>
    <n v="6.9006286E-2"/>
    <n v="6.6000000000000003E-2"/>
    <n v="4.3565394E-2"/>
    <n v="0"/>
    <n v="0.45800000000000002"/>
    <n v="0.189"/>
    <n v="1.4999999999999999E-2"/>
    <n v="0.05"/>
    <n v="2.863636364"/>
    <n v="0.22727272700000001"/>
    <n v="6.8313203000000003E-2"/>
    <n v="0.30499999999999999"/>
    <n v="6.5000000000000002E-2"/>
    <n v="0"/>
    <n v="7.0610243000000003E-2"/>
    <n v="0.45800000000000002"/>
    <n v="6.7000000000000004E-2"/>
    <n v="1.2E-2"/>
  </r>
  <r>
    <s v="L03-073-3"/>
    <m/>
    <n v="108"/>
    <m/>
    <m/>
    <n v="73"/>
    <s v="L03"/>
    <n v="1"/>
    <n v="0"/>
    <s v="MISSION VIEJO"/>
    <s v="SOUTH"/>
    <s v="San Juan Creek"/>
    <n v="48405.067521432698"/>
    <n v="49638756.008291103"/>
    <n v="1139.55258679796"/>
    <n v="39"/>
    <n v="28"/>
    <n v="0"/>
    <n v="0"/>
    <n v="0"/>
    <n v="0"/>
    <n v="0"/>
    <n v="0"/>
    <n v="0"/>
    <n v="45"/>
    <n v="29"/>
    <n v="26"/>
    <n v="0"/>
    <n v="0"/>
    <n v="3"/>
    <n v="1.56666666666666"/>
    <n v="0.103333333333333"/>
    <n v="0.83333333333333304"/>
    <n v="0.10199999999999999"/>
    <n v="0.1105"/>
    <n v="0.104833333333333"/>
    <x v="1"/>
    <s v="Flowing"/>
    <s v="Flowing"/>
    <x v="1"/>
    <s v="Jul- 1 - Jul-18, 16 days"/>
    <n v="0.10516911600000001"/>
    <n v="9.7000000000000003E-2"/>
    <n v="7.7675998999999996E-2"/>
    <n v="3.1E-2"/>
    <n v="0.58799999999999997"/>
    <n v="0.20399999999999999"/>
    <n v="5.45E-2"/>
    <n v="6.8000000000000005E-2"/>
    <n v="2.1030927840000002"/>
    <n v="0.56185567000000003"/>
    <n v="0.104883661"/>
    <n v="0.58799999999999997"/>
    <n v="9.7000000000000003E-2"/>
    <n v="3.5999999999999997E-2"/>
    <n v="0.105681713"/>
    <n v="0.30399999999999999"/>
    <n v="9.6000000000000002E-2"/>
    <n v="3.1E-2"/>
  </r>
  <r>
    <s v="J01-10004-1"/>
    <s v="munger"/>
    <m/>
    <n v="5.5"/>
    <n v="9"/>
    <n v="10004"/>
    <s v="J01"/>
    <n v="1"/>
    <n v="1"/>
    <s v="LAKE FOREST"/>
    <s v="SOUTH"/>
    <s v="Aliso"/>
    <n v="33917.762698888597"/>
    <n v="20903845.682929698"/>
    <n v="479.88775983888598"/>
    <n v="75"/>
    <n v="70"/>
    <n v="0"/>
    <n v="0"/>
    <n v="0"/>
    <n v="0"/>
    <n v="0"/>
    <n v="0"/>
    <n v="100"/>
    <n v="0"/>
    <n v="0"/>
    <n v="0"/>
    <n v="0"/>
    <n v="0"/>
    <m/>
    <m/>
    <m/>
    <m/>
    <m/>
    <m/>
    <m/>
    <x v="0"/>
    <m/>
    <m/>
    <x v="0"/>
    <s v="Jul-19 - Jul-31, 12 days"/>
    <n v="0.101816878"/>
    <n v="9.9000000000000005E-2"/>
    <n v="2.7666120999999998E-2"/>
    <n v="7.8E-2"/>
    <n v="0.14099999999999999"/>
    <n v="0.121"/>
    <n v="0.09"/>
    <n v="9.7000000000000003E-2"/>
    <n v="1.2222222220000001"/>
    <n v="0.909090909"/>
    <n v="0.102691378"/>
    <n v="0.13500000000000001"/>
    <n v="0.1"/>
    <n v="8.1000000000000003E-2"/>
    <n v="9.9919579999999994E-2"/>
    <n v="0.14099999999999999"/>
    <n v="9.9000000000000005E-2"/>
    <n v="7.8E-2"/>
  </r>
  <r>
    <s v="J01-9066-2"/>
    <m/>
    <n v="81"/>
    <m/>
    <m/>
    <n v="9066"/>
    <s v="J01"/>
    <n v="1"/>
    <n v="0"/>
    <s v="LAKE FOREST"/>
    <s v="SOUTH"/>
    <s v="Aliso"/>
    <n v="21320.3851644354"/>
    <n v="18310358.859985098"/>
    <n v="420.34930933019098"/>
    <n v="95"/>
    <n v="48"/>
    <n v="0"/>
    <n v="0"/>
    <n v="0"/>
    <n v="0"/>
    <n v="0"/>
    <n v="0"/>
    <n v="1"/>
    <n v="99"/>
    <n v="0"/>
    <n v="0"/>
    <n v="0"/>
    <n v="0"/>
    <n v="2"/>
    <n v="1.25"/>
    <n v="4.4999999999999998E-2"/>
    <n v="1.1578947368421"/>
    <n v="4.0800000000000003E-2"/>
    <n v="7.2697368421052996E-2"/>
    <n v="5.6748684210526E-2"/>
    <x v="0"/>
    <m/>
    <m/>
    <x v="0"/>
    <s v="Jul-27 - Aug-11, 14 days"/>
    <n v="0.12067952"/>
    <n v="9.9000000000000005E-2"/>
    <n v="0.17964539700000001"/>
    <n v="0"/>
    <n v="0.73199999999999998"/>
    <n v="0.3745"/>
    <n v="2.4E-2"/>
    <n v="5.1999999999999998E-2"/>
    <n v="3.7828282830000002"/>
    <n v="0.24242424200000001"/>
    <n v="0.122177362"/>
    <n v="0.73199999999999998"/>
    <n v="0.10100000000000001"/>
    <n v="0"/>
    <n v="0.11664756900000001"/>
    <n v="0.40500000000000003"/>
    <n v="9.7000000000000003E-2"/>
    <n v="2.1000000000000001E-2"/>
  </r>
  <r>
    <s v="M01-042-1"/>
    <s v="M01S01"/>
    <n v="36"/>
    <m/>
    <m/>
    <n v="42"/>
    <s v="M01"/>
    <n v="1"/>
    <n v="0"/>
    <s v="SAN CLEMENTE"/>
    <s v="SOUTH"/>
    <s v="San Clemente"/>
    <n v="15237.324781506801"/>
    <n v="9789225.00427958"/>
    <n v="224.73038354367301"/>
    <n v="58"/>
    <n v="58"/>
    <n v="0"/>
    <n v="0"/>
    <n v="0"/>
    <n v="0"/>
    <n v="0"/>
    <n v="0"/>
    <n v="0"/>
    <n v="0"/>
    <n v="0"/>
    <n v="0"/>
    <n v="100"/>
    <n v="0"/>
    <n v="2"/>
    <n v="0.6"/>
    <n v="2.5000000000000001E-2"/>
    <n v="1.25"/>
    <n v="1.0200000000000001E-2"/>
    <n v="2.2950000000000002E-2"/>
    <n v="1.6574999999999999E-2"/>
    <x v="1"/>
    <m/>
    <s v="Flowing"/>
    <x v="2"/>
    <s v="Jul-19 - Aug- 2, 13 days"/>
    <n v="0.10024767599999999"/>
    <n v="9.9000000000000005E-2"/>
    <n v="1.2445939E-2"/>
    <n v="2.8000000000000001E-2"/>
    <n v="0.24299999999999999"/>
    <n v="0.19900000000000001"/>
    <n v="3.9E-2"/>
    <n v="5.7000000000000002E-2"/>
    <n v="2.0101010100000001"/>
    <n v="0.393939394"/>
    <n v="0.10256451"/>
    <n v="0.24299999999999999"/>
    <n v="0.10199999999999999"/>
    <n v="2.8000000000000001E-2"/>
    <n v="9.4558160000000002E-2"/>
    <n v="0.20200000000000001"/>
    <n v="9.0999999999999998E-2"/>
    <n v="3.7999999999999999E-2"/>
  </r>
  <r>
    <s v="K01-12036-1"/>
    <m/>
    <n v="39"/>
    <m/>
    <m/>
    <n v="12036"/>
    <s v="K01"/>
    <n v="1"/>
    <n v="0"/>
    <s v="LAGUNA NIGUEL"/>
    <s v="SOUTH"/>
    <s v="Dana Point"/>
    <n v="12973.430842088799"/>
    <n v="6002780.9678765796"/>
    <n v="137.80531846492599"/>
    <n v="31"/>
    <n v="31"/>
    <n v="0"/>
    <n v="0"/>
    <n v="0"/>
    <n v="0"/>
    <n v="100"/>
    <n v="0"/>
    <n v="0"/>
    <n v="0"/>
    <n v="0"/>
    <n v="0"/>
    <n v="0"/>
    <n v="0"/>
    <n v="2"/>
    <n v="0.47499999999999998"/>
    <n v="3.5000000000000003E-2"/>
    <n v="1.45"/>
    <n v="6.3749999999999996E-3"/>
    <n v="3.6720000000000003E-2"/>
    <n v="2.1547500000000001E-2"/>
    <x v="0"/>
    <m/>
    <m/>
    <x v="0"/>
    <s v="Jul-29 - Aug-12, 13 days"/>
    <n v="9.9385081E-2"/>
    <n v="0.123"/>
    <n v="-0.237610298"/>
    <n v="0"/>
    <n v="0.30499999999999999"/>
    <n v="0.223"/>
    <n v="0"/>
    <n v="0.14499999999999999"/>
    <n v="1.8130081300000001"/>
    <n v="0"/>
    <n v="0.107772269"/>
    <n v="0.26400000000000001"/>
    <n v="0.13300000000000001"/>
    <n v="0"/>
    <n v="8.1322048999999993E-2"/>
    <n v="0.30499999999999999"/>
    <n v="6.4000000000000001E-2"/>
    <n v="0"/>
  </r>
  <r>
    <s v="K01-12177-1"/>
    <s v="K01P07"/>
    <n v="78"/>
    <m/>
    <m/>
    <n v="12177"/>
    <s v="K01"/>
    <n v="1"/>
    <n v="0"/>
    <s v="LAGUNA NIGUEL"/>
    <s v="SOUTH"/>
    <s v="Dana Point"/>
    <n v="29476.341841978501"/>
    <n v="22321426.930841599"/>
    <n v="512.43104875177801"/>
    <n v="81"/>
    <n v="76"/>
    <n v="0"/>
    <n v="0"/>
    <n v="0"/>
    <n v="0"/>
    <n v="100"/>
    <n v="0"/>
    <n v="0"/>
    <n v="0"/>
    <n v="0"/>
    <n v="0"/>
    <n v="0"/>
    <n v="0"/>
    <n v="3"/>
    <n v="0.95"/>
    <n v="2.8333333333332999E-2"/>
    <n v="3.1495726495726499"/>
    <n v="1.625625E-2"/>
    <n v="0.172615384615385"/>
    <n v="8.8457211538462005E-2"/>
    <x v="1"/>
    <s v="Flowing"/>
    <s v="Flowing"/>
    <x v="1"/>
    <s v="Jun- 2 - Jun-13, 11 days"/>
    <n v="0.13572933700000001"/>
    <n v="0.13300000000000001"/>
    <n v="2.0108675999999999E-2"/>
    <n v="2.1999999999999999E-2"/>
    <n v="0.41499999999999998"/>
    <n v="0.22900000000000001"/>
    <n v="7.2999999999999995E-2"/>
    <n v="0.107"/>
    <n v="1.721804511"/>
    <n v="0.54887218000000004"/>
    <n v="0.141063152"/>
    <n v="0.41499999999999998"/>
    <n v="0.13600000000000001"/>
    <n v="2.1999999999999999E-2"/>
    <n v="0.126139583"/>
    <n v="0.25700000000000001"/>
    <n v="0.128"/>
    <n v="2.1999999999999999E-2"/>
  </r>
  <r>
    <s v="K01-12126-1"/>
    <s v="K01S01"/>
    <n v="120"/>
    <m/>
    <m/>
    <n v="12126"/>
    <s v="K01"/>
    <n v="1"/>
    <n v="0"/>
    <s v="DANA POINT"/>
    <s v="SOUTH"/>
    <s v="Dana Point"/>
    <n v="42037.588012665103"/>
    <n v="42734705.527915202"/>
    <n v="981.05690284121499"/>
    <n v="77"/>
    <n v="70"/>
    <n v="0"/>
    <n v="29"/>
    <n v="0"/>
    <n v="0"/>
    <n v="71"/>
    <n v="0"/>
    <n v="0"/>
    <n v="0"/>
    <n v="0"/>
    <n v="0"/>
    <n v="0"/>
    <n v="0"/>
    <n v="2"/>
    <n v="1.9"/>
    <n v="0.09"/>
    <n v="2.3571428571428501"/>
    <n v="0.198171428571429"/>
    <n v="0.53549999999999998"/>
    <n v="0.36683571428571399"/>
    <x v="0"/>
    <m/>
    <m/>
    <x v="0"/>
    <s v="May-25 - Jun- 8, 13 days"/>
    <n v="0.13912080900000001"/>
    <n v="0.13700000000000001"/>
    <n v="1.524437E-2"/>
    <n v="3.5000000000000003E-2"/>
    <n v="0.26300000000000001"/>
    <n v="0.23899999999999999"/>
    <n v="7.8E-2"/>
    <n v="0.115"/>
    <n v="1.7445255470000001"/>
    <n v="0.56934306599999995"/>
    <n v="0.14102099800000001"/>
    <n v="0.26200000000000001"/>
    <n v="0.14000000000000001"/>
    <n v="3.9E-2"/>
    <n v="0.13470046099999999"/>
    <n v="0.26300000000000001"/>
    <n v="0.13200000000000001"/>
    <n v="3.5000000000000003E-2"/>
  </r>
  <r>
    <s v="K01-12032-2"/>
    <s v="K01P11"/>
    <n v="48"/>
    <m/>
    <m/>
    <n v="12032"/>
    <s v="K01"/>
    <n v="1"/>
    <n v="0"/>
    <s v="LAGUNA NIGUEL"/>
    <s v="SOUTH"/>
    <s v="Dana Point"/>
    <n v="15117.294468751101"/>
    <n v="5525448.9897399396"/>
    <n v="126.847249927589"/>
    <n v="71"/>
    <n v="71"/>
    <n v="0"/>
    <n v="0"/>
    <n v="0"/>
    <n v="0"/>
    <n v="100"/>
    <n v="0"/>
    <n v="0"/>
    <n v="0"/>
    <n v="0"/>
    <n v="0"/>
    <n v="0"/>
    <n v="0"/>
    <n v="3"/>
    <n v="1"/>
    <n v="6.6666666666666999E-2"/>
    <n v="1.56666666666666"/>
    <n v="1.9890000000000001E-2"/>
    <n v="0.14280000000000001"/>
    <n v="6.9529999999999995E-2"/>
    <x v="2"/>
    <s v="Flowing"/>
    <s v="Flowing"/>
    <x v="3"/>
    <s v="Aug- 3 - Aug-17, 13 days"/>
    <n v="0.185703272"/>
    <n v="0.157"/>
    <n v="0.15456524499999999"/>
    <n v="3.9E-2"/>
    <n v="1.17"/>
    <n v="0.88500000000000001"/>
    <n v="8.3000000000000004E-2"/>
    <n v="0.112"/>
    <n v="5.6369426750000002"/>
    <n v="0.52866241999999997"/>
    <n v="0.182179864"/>
    <n v="1.08"/>
    <n v="0.154"/>
    <n v="3.9E-2"/>
    <n v="0.19423958299999999"/>
    <n v="1.17"/>
    <n v="0.16400000000000001"/>
    <n v="7.5999999999999998E-2"/>
  </r>
  <r>
    <s v="L03-691-1"/>
    <s v="L03P09"/>
    <n v="90"/>
    <m/>
    <m/>
    <n v="691"/>
    <s v="L03"/>
    <n v="1"/>
    <n v="0"/>
    <s v="MISSION VIEJO"/>
    <s v="SOUTH"/>
    <s v="San Juan Creek"/>
    <n v="31614.636778074499"/>
    <n v="22011012.966371801"/>
    <n v="505.30490247747002"/>
    <n v="72"/>
    <n v="68"/>
    <n v="0"/>
    <n v="0"/>
    <n v="0"/>
    <n v="0"/>
    <n v="0"/>
    <n v="0"/>
    <n v="0"/>
    <n v="100"/>
    <n v="0"/>
    <n v="0"/>
    <n v="0"/>
    <n v="0"/>
    <n v="1"/>
    <n v="1.4"/>
    <n v="0.1"/>
    <n v="3"/>
    <n v="0.35699999999999998"/>
    <n v="0.35699999999999998"/>
    <n v="0.35699999999999998"/>
    <x v="2"/>
    <s v="Flowing"/>
    <s v="Flowing"/>
    <x v="1"/>
    <s v="Jun-15 - Jun-29, 13 days"/>
    <n v="0.20541395600000001"/>
    <n v="0.191"/>
    <n v="7.0170284999999999E-2"/>
    <n v="5.8000000000000003E-2"/>
    <n v="0.60899999999999999"/>
    <n v="0.34100000000000003"/>
    <n v="9.2999999999999999E-2"/>
    <n v="0.27800000000000002"/>
    <n v="1.7853403139999999"/>
    <n v="0.48691099500000001"/>
    <n v="0.21042295699999999"/>
    <n v="0.60899999999999999"/>
    <n v="0.193"/>
    <n v="5.8000000000000003E-2"/>
    <n v="0.19291319400000001"/>
    <n v="0.377"/>
    <n v="0.185"/>
    <n v="6.6000000000000003E-2"/>
  </r>
  <r>
    <s v="M02-085-2"/>
    <m/>
    <n v="36"/>
    <m/>
    <m/>
    <n v="85"/>
    <s v="M02"/>
    <n v="1"/>
    <n v="0"/>
    <s v="SAN CLEMENTE"/>
    <s v="SOUTH"/>
    <s v="San Clemente"/>
    <n v="12816.403674247"/>
    <n v="8706229.2917328607"/>
    <n v="199.86814554726499"/>
    <n v="65"/>
    <n v="1"/>
    <n v="0"/>
    <n v="0"/>
    <n v="0"/>
    <n v="0"/>
    <n v="0"/>
    <n v="0"/>
    <n v="0"/>
    <n v="0"/>
    <n v="0"/>
    <n v="0"/>
    <n v="100"/>
    <n v="0"/>
    <m/>
    <m/>
    <m/>
    <m/>
    <m/>
    <m/>
    <m/>
    <x v="0"/>
    <m/>
    <m/>
    <x v="0"/>
    <s v="Jul-15 - Jul-29, 13 days"/>
    <n v="0.23772325899999999"/>
    <n v="0.19500000000000001"/>
    <n v="0.17971846499999999"/>
    <n v="0"/>
    <n v="0.83399999999999996"/>
    <n v="0.57699999999999996"/>
    <n v="5.6000000000000001E-2"/>
    <n v="0.14599999999999999"/>
    <n v="2.9589743589999999"/>
    <n v="0.28717948700000001"/>
    <n v="0.24573542000000001"/>
    <n v="0.70699999999999996"/>
    <n v="0.20200000000000001"/>
    <n v="0"/>
    <n v="0.21816579899999999"/>
    <n v="0.83399999999999996"/>
    <n v="0.17150000000000001"/>
    <n v="8.9999999999999993E-3"/>
  </r>
  <r>
    <s v="L03-316-3"/>
    <s v="L03P12"/>
    <n v="78"/>
    <m/>
    <m/>
    <n v="316"/>
    <s v="L03"/>
    <n v="1"/>
    <n v="0"/>
    <s v="MISSION VIEJO"/>
    <s v="SOUTH"/>
    <s v="San Juan Creek"/>
    <n v="24762.641737826401"/>
    <n v="18434175.733324099"/>
    <n v="423.191762478675"/>
    <n v="89"/>
    <n v="82"/>
    <n v="0"/>
    <n v="0"/>
    <n v="0"/>
    <n v="0"/>
    <n v="0"/>
    <n v="0"/>
    <n v="0"/>
    <n v="100"/>
    <n v="0"/>
    <n v="0"/>
    <n v="0"/>
    <n v="0"/>
    <n v="3"/>
    <n v="0.96666666666666701"/>
    <n v="0.09"/>
    <n v="6"/>
    <n v="0.33915000000000001"/>
    <n v="0.56100000000000005"/>
    <n v="0.44455"/>
    <x v="1"/>
    <s v="Flowing"/>
    <s v="Flowing"/>
    <x v="3"/>
    <s v="Jun-16 - Jun-30, 13 days"/>
    <n v="0.20561653799999999"/>
    <n v="0.20300000000000001"/>
    <n v="1.2725327E-2"/>
    <n v="8.5999999999999993E-2"/>
    <n v="0.41299999999999998"/>
    <n v="0.33500000000000002"/>
    <n v="0.11899999999999999"/>
    <n v="0.17"/>
    <n v="1.650246305"/>
    <n v="0.58620689699999995"/>
    <n v="0.205314626"/>
    <n v="0.41299999999999998"/>
    <n v="0.20300000000000001"/>
    <n v="0.105"/>
    <n v="0.206363715"/>
    <n v="0.41299999999999998"/>
    <n v="0.21099999999999999"/>
    <n v="8.5999999999999993E-2"/>
  </r>
  <r>
    <s v="J06-10011-1"/>
    <m/>
    <n v="96"/>
    <m/>
    <m/>
    <n v="10011"/>
    <s v="J06"/>
    <n v="1"/>
    <n v="0"/>
    <s v="ALISO VIEJO"/>
    <s v="SOUTH"/>
    <s v="Aliso"/>
    <n v="36519.460341964303"/>
    <n v="40767731.496038102"/>
    <n v="935.90125176455194"/>
    <n v="98"/>
    <n v="66"/>
    <n v="16"/>
    <n v="0"/>
    <n v="0"/>
    <n v="21"/>
    <n v="0"/>
    <n v="41"/>
    <n v="23"/>
    <n v="0"/>
    <n v="0"/>
    <n v="0"/>
    <n v="0"/>
    <n v="0"/>
    <n v="5"/>
    <n v="3.99"/>
    <n v="0.51800000000000002"/>
    <n v="0.24087613535889399"/>
    <n v="0.201889655172414"/>
    <n v="0.51"/>
    <n v="0.38633403359858498"/>
    <x v="1"/>
    <s v="Flowing"/>
    <s v="Flowing"/>
    <x v="2"/>
    <s v="Jun-24 - Jul-11, 16 days"/>
    <n v="0.209690825"/>
    <n v="0.20799999999999999"/>
    <n v="8.0634209999999994E-3"/>
    <n v="0.183"/>
    <n v="0.27200000000000002"/>
    <n v="0.24349999999999999"/>
    <n v="0.1915"/>
    <n v="0.20399999999999999"/>
    <n v="1.170673077"/>
    <n v="0.92067307700000001"/>
    <n v="0.210641825"/>
    <n v="0.26700000000000002"/>
    <n v="0.20899999999999999"/>
    <n v="0.185"/>
    <n v="0.20801446800000001"/>
    <n v="0.27200000000000002"/>
    <n v="0.20599999999999999"/>
    <n v="0.183"/>
  </r>
  <r>
    <s v="J03-9221-1"/>
    <m/>
    <n v="72"/>
    <m/>
    <m/>
    <n v="9221"/>
    <s v="J03"/>
    <n v="1"/>
    <n v="0"/>
    <s v="LAGUNA NIGUEL"/>
    <s v="SOUTH"/>
    <s v="Aliso"/>
    <n v="25366.269179262999"/>
    <n v="24642223.504762001"/>
    <n v="565.70937302729203"/>
    <n v="76"/>
    <n v="76"/>
    <n v="0"/>
    <n v="0"/>
    <n v="0"/>
    <n v="0"/>
    <n v="100"/>
    <n v="0"/>
    <n v="0"/>
    <n v="0"/>
    <n v="0"/>
    <n v="0"/>
    <n v="0"/>
    <n v="0"/>
    <n v="2"/>
    <n v="1.45"/>
    <n v="8.5000000000000006E-2"/>
    <n v="1.5"/>
    <n v="0.13600000000000001"/>
    <n v="0.1547"/>
    <n v="0.14535000000000001"/>
    <x v="0"/>
    <m/>
    <m/>
    <x v="0"/>
    <s v="Jun- 1 - Jun-14, 12 days"/>
    <n v="0.21871696299999999"/>
    <n v="0.21099999999999999"/>
    <n v="3.5282872999999999E-2"/>
    <n v="0.105"/>
    <n v="0.621"/>
    <n v="0.372"/>
    <n v="0.1235"/>
    <n v="0.151"/>
    <n v="1.7630331749999999"/>
    <n v="0.58530805699999999"/>
    <n v="0.22232927399999999"/>
    <n v="0.621"/>
    <n v="0.214"/>
    <n v="0.105"/>
    <n v="0.210683333"/>
    <n v="0.47"/>
    <n v="0.20499999999999999"/>
    <n v="0.108"/>
  </r>
  <r>
    <s v="L02-166-3"/>
    <s v="L02P26"/>
    <n v="96"/>
    <m/>
    <m/>
    <n v="166"/>
    <s v="L02"/>
    <n v="1"/>
    <n v="0"/>
    <s v="RANCHO SANTA MARGARITA"/>
    <s v="SOUTH"/>
    <s v="San Juan Creek"/>
    <n v="24156.322657897901"/>
    <n v="21541058.0010661"/>
    <n v="494.51618737946802"/>
    <n v="70"/>
    <n v="60"/>
    <n v="0"/>
    <n v="0"/>
    <n v="0"/>
    <n v="0"/>
    <n v="0"/>
    <n v="0"/>
    <n v="0"/>
    <n v="0"/>
    <n v="1"/>
    <n v="99"/>
    <n v="0"/>
    <n v="0"/>
    <n v="2"/>
    <n v="1.1000000000000001"/>
    <n v="3.5000000000000003E-2"/>
    <n v="1.03571428571428"/>
    <n v="2.1857142857142998E-2"/>
    <n v="4.7600000000000003E-2"/>
    <n v="3.4728571428570998E-2"/>
    <x v="1"/>
    <m/>
    <s v="Flowing"/>
    <x v="2"/>
    <s v="Jun- 1 - Jun-14, 12 days"/>
    <n v="0.21871696299999999"/>
    <n v="0.21099999999999999"/>
    <n v="3.5282872999999999E-2"/>
    <n v="0.105"/>
    <n v="0.621"/>
    <n v="0.372"/>
    <n v="0.1235"/>
    <n v="0.151"/>
    <n v="1.7630331749999999"/>
    <n v="0.58530805699999999"/>
    <n v="0.22232927399999999"/>
    <n v="0.621"/>
    <n v="0.214"/>
    <n v="0.105"/>
    <n v="0.210683333"/>
    <n v="0.47"/>
    <n v="0.20499999999999999"/>
    <n v="0.108"/>
  </r>
  <r>
    <s v="J06-9362-1"/>
    <m/>
    <n v="102"/>
    <m/>
    <m/>
    <n v="9362"/>
    <s v="J06"/>
    <n v="1"/>
    <n v="0"/>
    <s v="ALISO VIEJO"/>
    <s v="SOUTH"/>
    <s v="Aliso"/>
    <n v="53480.146528365702"/>
    <n v="59196619.219461299"/>
    <n v="1358.97161786172"/>
    <n v="93"/>
    <n v="65"/>
    <n v="38"/>
    <n v="0"/>
    <n v="0"/>
    <n v="18"/>
    <n v="0"/>
    <n v="28"/>
    <n v="16"/>
    <n v="0"/>
    <n v="0"/>
    <n v="0"/>
    <n v="0"/>
    <n v="0"/>
    <n v="4"/>
    <n v="4.125"/>
    <n v="0.60750000000000004"/>
    <n v="0.25515093015092999"/>
    <n v="0.353140540540541"/>
    <n v="0.62219999999999998"/>
    <n v="0.54156419357669405"/>
    <x v="1"/>
    <s v="Flowing"/>
    <s v="Flowing"/>
    <x v="2"/>
    <s v="Jun-24 - Jul-11, 16 days"/>
    <n v="0.24528101399999999"/>
    <n v="0.24199999999999999"/>
    <n v="1.3376552E-2"/>
    <n v="0.188"/>
    <n v="0.34200000000000003"/>
    <n v="0.27750000000000002"/>
    <n v="0.21"/>
    <n v="0.23899999999999999"/>
    <n v="1.1466942149999999"/>
    <n v="0.86776859500000003"/>
    <n v="0.25018101199999998"/>
    <n v="0.34200000000000003"/>
    <n v="0.247"/>
    <n v="0.193"/>
    <n v="0.236649306"/>
    <n v="0.29899999999999999"/>
    <n v="0.23499999999999999"/>
    <n v="0.188"/>
  </r>
  <r>
    <s v="L03-214-2"/>
    <m/>
    <n v="96"/>
    <m/>
    <m/>
    <n v="214"/>
    <s v="L03"/>
    <n v="1"/>
    <n v="0"/>
    <s v="MISSION VIEJO"/>
    <s v="SOUTH"/>
    <s v="San Juan Creek"/>
    <n v="90540.027556572895"/>
    <n v="97441155.754639506"/>
    <n v="2236.9481032569702"/>
    <n v="64"/>
    <n v="56"/>
    <n v="0"/>
    <n v="0"/>
    <n v="0"/>
    <n v="0"/>
    <n v="0"/>
    <n v="0"/>
    <n v="0"/>
    <n v="72"/>
    <n v="15"/>
    <n v="13"/>
    <n v="0"/>
    <n v="0"/>
    <n v="2"/>
    <n v="1.65"/>
    <n v="0.115"/>
    <n v="2.25"/>
    <n v="0.22439999999999999"/>
    <n v="0.5202"/>
    <n v="0.37230000000000002"/>
    <x v="1"/>
    <m/>
    <s v="Flowing"/>
    <x v="2"/>
    <s v="May-31 - Jun-14, 13 days"/>
    <n v="0.25687775299999999"/>
    <n v="0.251"/>
    <n v="2.2881518999999999E-2"/>
    <n v="0.105"/>
    <n v="0.47099999999999997"/>
    <n v="0.374"/>
    <n v="0.17"/>
    <n v="0.246"/>
    <n v="1.490039841"/>
    <n v="0.67729083700000003"/>
    <n v="0.266741536"/>
    <n v="0.47099999999999997"/>
    <n v="0.26400000000000001"/>
    <n v="0.155"/>
    <n v="0.22626101700000001"/>
    <n v="0.433"/>
    <n v="0.224"/>
    <n v="0.105"/>
  </r>
  <r>
    <s v="M02-062-2"/>
    <m/>
    <m/>
    <n v="14"/>
    <n v="14"/>
    <n v="52"/>
    <s v="M02"/>
    <n v="1"/>
    <n v="1"/>
    <s v="SAN CLEMENTE"/>
    <s v="SOUTH"/>
    <s v="San Clemente"/>
    <n v="115728.732090433"/>
    <n v="159076318.869425"/>
    <n v="3651.9011603689801"/>
    <n v="33"/>
    <n v="18"/>
    <n v="0"/>
    <n v="0"/>
    <n v="0"/>
    <n v="0"/>
    <n v="0"/>
    <n v="0"/>
    <n v="0"/>
    <n v="0"/>
    <n v="19"/>
    <n v="1"/>
    <n v="80"/>
    <n v="0"/>
    <n v="3"/>
    <n v="1.9666666666666599"/>
    <n v="0.18"/>
    <n v="1.2603041216486599"/>
    <n v="0.29249999999999998"/>
    <n v="0.51"/>
    <n v="0.38025510204081597"/>
    <x v="1"/>
    <s v="Flowing"/>
    <s v="Flowing"/>
    <x v="0"/>
    <s v="Jul-15 - Jul-28, 12 days"/>
    <n v="0.49822490000000003"/>
    <n v="0.48799999999999999"/>
    <n v="2.0522658999999999E-2"/>
    <n v="0.38"/>
    <n v="0.77100000000000002"/>
    <n v="0.61899999999999999"/>
    <n v="0.41099999999999998"/>
    <n v="0.46500000000000002"/>
    <n v="1.2684426230000001"/>
    <n v="0.84221311499999996"/>
    <n v="0.50361788600000001"/>
    <n v="0.77100000000000002"/>
    <n v="0.497"/>
    <n v="0.38"/>
    <n v="0.486132813"/>
    <n v="0.65500000000000003"/>
    <n v="0.47899999999999998"/>
    <n v="0.38"/>
  </r>
  <r>
    <s v="L04-266-5"/>
    <m/>
    <n v="72"/>
    <m/>
    <m/>
    <n v="266"/>
    <s v="L04"/>
    <n v="1"/>
    <n v="0"/>
    <s v="MISSION VIEJO"/>
    <s v="SOUTH"/>
    <s v="San Juan Creek"/>
    <n v="27612.909569517"/>
    <n v="25171179.6527461"/>
    <n v="577.85257312354804"/>
    <n v="98"/>
    <n v="89"/>
    <n v="0"/>
    <n v="0"/>
    <n v="0"/>
    <n v="0"/>
    <n v="0"/>
    <n v="0"/>
    <n v="0"/>
    <n v="100"/>
    <n v="0"/>
    <n v="0"/>
    <n v="0"/>
    <n v="0"/>
    <n v="3"/>
    <n v="2.2666666666666599"/>
    <n v="0.27"/>
    <n v="1.12584175084175"/>
    <n v="3.8636363636364003E-2"/>
    <n v="0.245933333333333"/>
    <n v="0.135656565656566"/>
    <x v="1"/>
    <m/>
    <m/>
    <x v="2"/>
    <s v="Jun-30 - Jul-17, 17 days"/>
    <n v="0.50537841800000005"/>
    <n v="0.51200000000000001"/>
    <n v="-1.3102226E-2"/>
    <n v="0.36199999999999999"/>
    <n v="0.75700000000000001"/>
    <n v="0.63149999999999995"/>
    <n v="0.46"/>
    <n v="0.52400000000000002"/>
    <n v="1.233398438"/>
    <n v="0.8984375"/>
    <n v="0.50583887299999997"/>
    <n v="0.71399999999999997"/>
    <n v="0.51200000000000001"/>
    <n v="0.36199999999999999"/>
    <n v="0.50441867500000004"/>
    <n v="0.75700000000000001"/>
    <n v="0.51300000000000001"/>
    <n v="0.36599999999999999"/>
  </r>
  <r>
    <s v="L04-136-1"/>
    <s v="L04P07"/>
    <n v="90"/>
    <m/>
    <m/>
    <n v="136"/>
    <s v="L04"/>
    <n v="1"/>
    <n v="0"/>
    <s v="MISSION VIEJO"/>
    <s v="SOUTH"/>
    <s v="San Juan Creek"/>
    <n v="31246.7533328227"/>
    <n v="19806302.6948018"/>
    <n v="454.69156130735701"/>
    <n v="100"/>
    <n v="61"/>
    <n v="0"/>
    <n v="0"/>
    <n v="0"/>
    <n v="0"/>
    <n v="0"/>
    <n v="0"/>
    <n v="0"/>
    <n v="100"/>
    <n v="0"/>
    <n v="0"/>
    <n v="0"/>
    <n v="0"/>
    <n v="1"/>
    <n v="2.6"/>
    <n v="0.2"/>
    <n v="1"/>
    <n v="0.442"/>
    <n v="0.442"/>
    <n v="0.442"/>
    <x v="0"/>
    <m/>
    <m/>
    <x v="0"/>
    <s v="Jun-30 - Jul-14, 13 days"/>
    <n v="0.69905064299999997"/>
    <n v="0.68500000000000005"/>
    <n v="2.0099605999999999E-2"/>
    <n v="0.32600000000000001"/>
    <n v="1.17"/>
    <n v="0.92900000000000005"/>
    <n v="0.47499999999999998"/>
    <n v="0.63900000000000001"/>
    <n v="1.3562043800000001"/>
    <n v="0.69343065699999995"/>
    <n v="0.71724068699999999"/>
    <n v="1.17"/>
    <n v="0.7"/>
    <n v="0.38700000000000001"/>
    <n v="0.65581770800000005"/>
    <n v="1.0900000000000001"/>
    <n v="0.64900000000000002"/>
    <n v="0.32600000000000001"/>
  </r>
  <r>
    <s v="I00-11468-1"/>
    <m/>
    <n v="48"/>
    <m/>
    <m/>
    <n v="11468"/>
    <s v="I00"/>
    <n v="1"/>
    <n v="0"/>
    <s v="LAGUNA BEACH"/>
    <s v="SOUTH"/>
    <s v="Laguna Coast"/>
    <n v="19812.988386831799"/>
    <n v="9728520.6902975794"/>
    <n v="223.336799908812"/>
    <n v="34"/>
    <n v="34"/>
    <n v="0"/>
    <n v="0"/>
    <n v="92"/>
    <n v="0"/>
    <n v="0"/>
    <n v="0"/>
    <n v="0"/>
    <n v="0"/>
    <n v="8"/>
    <n v="0"/>
    <n v="0"/>
    <n v="0"/>
    <n v="1"/>
    <n v="1"/>
    <n v="0.3"/>
    <n v="1"/>
    <n v="0.255"/>
    <n v="0.255"/>
    <n v="0.255"/>
    <x v="0"/>
    <m/>
    <m/>
    <x v="0"/>
    <m/>
    <m/>
    <m/>
    <m/>
    <m/>
    <m/>
    <m/>
    <m/>
    <m/>
    <m/>
    <m/>
    <m/>
    <m/>
    <m/>
    <m/>
    <m/>
    <m/>
    <m/>
    <m/>
  </r>
  <r>
    <s v="I01-11010-1"/>
    <m/>
    <n v="48"/>
    <m/>
    <m/>
    <n v="11010"/>
    <s v="I01"/>
    <n v="1"/>
    <n v="0"/>
    <s v="LAGUNA BEACH"/>
    <s v="SOUTH"/>
    <s v="Laguna Coast"/>
    <n v="3279.87662228108"/>
    <n v="529212.09289093001"/>
    <n v="12.1490758011319"/>
    <n v="100"/>
    <n v="7"/>
    <n v="0"/>
    <n v="0"/>
    <n v="100"/>
    <n v="0"/>
    <n v="0"/>
    <n v="0"/>
    <n v="0"/>
    <n v="0"/>
    <n v="0"/>
    <n v="0"/>
    <n v="0"/>
    <n v="0"/>
    <n v="3"/>
    <n v="5.5666666666666602"/>
    <n v="2.6666666666667001E-2"/>
    <n v="0.37777777777777799"/>
    <n v="5.9500000000000004E-3"/>
    <n v="0.10199999999999999"/>
    <n v="4.9583333333333E-2"/>
    <x v="1"/>
    <s v="Flowing"/>
    <s v="Flowing"/>
    <x v="1"/>
    <m/>
    <m/>
    <m/>
    <m/>
    <m/>
    <m/>
    <m/>
    <m/>
    <m/>
    <m/>
    <m/>
    <m/>
    <m/>
    <m/>
    <m/>
    <m/>
    <m/>
    <m/>
    <m/>
  </r>
  <r>
    <s v="I01-11343-2"/>
    <m/>
    <n v="48"/>
    <m/>
    <m/>
    <n v="11343"/>
    <s v="I01"/>
    <n v="1"/>
    <n v="0"/>
    <s v="LAGUNA WOODS"/>
    <s v="SOUTH"/>
    <s v="Laguna Coast"/>
    <n v="8251.0243039655106"/>
    <n v="2039082.64114993"/>
    <n v="46.811042122592802"/>
    <n v="100"/>
    <n v="100"/>
    <n v="0"/>
    <n v="0"/>
    <n v="0"/>
    <n v="0"/>
    <n v="0"/>
    <n v="100"/>
    <n v="0"/>
    <n v="0"/>
    <n v="0"/>
    <n v="0"/>
    <n v="0"/>
    <n v="0"/>
    <n v="1"/>
    <n v="0.5"/>
    <n v="5.0000000000000001E-3"/>
    <n v="0.14285714285714299"/>
    <n v="3.0357142857100002E-4"/>
    <n v="3.0357142857100002E-4"/>
    <n v="3.0357142857100002E-4"/>
    <x v="0"/>
    <m/>
    <m/>
    <x v="0"/>
    <m/>
    <m/>
    <m/>
    <m/>
    <m/>
    <m/>
    <m/>
    <m/>
    <m/>
    <m/>
    <m/>
    <m/>
    <m/>
    <m/>
    <m/>
    <m/>
    <m/>
    <m/>
    <m/>
  </r>
  <r>
    <s v="J01-10017-1"/>
    <s v="J01TBN4"/>
    <n v="48"/>
    <m/>
    <m/>
    <n v="10017"/>
    <s v="J01"/>
    <n v="1"/>
    <n v="0"/>
    <s v="ALISO VIEJO"/>
    <s v="SOUTH"/>
    <s v="Aliso"/>
    <n v="3698.95642971489"/>
    <n v="758924.66193973296"/>
    <n v="17.4225671883021"/>
    <n v="45"/>
    <n v="2"/>
    <n v="100"/>
    <n v="0"/>
    <n v="0"/>
    <n v="0"/>
    <n v="0"/>
    <n v="0"/>
    <n v="0"/>
    <n v="0"/>
    <n v="0"/>
    <n v="0"/>
    <n v="0"/>
    <n v="0"/>
    <n v="3"/>
    <n v="1.0166666666666599"/>
    <n v="4.6666666666667002E-2"/>
    <n v="0.26984126984126999"/>
    <n v="4.3714285714289997E-3"/>
    <n v="1.6291666666666999E-2"/>
    <n v="1.1609920634921E-2"/>
    <x v="1"/>
    <s v="Flowing"/>
    <s v="Flowing"/>
    <x v="3"/>
    <m/>
    <m/>
    <m/>
    <m/>
    <m/>
    <m/>
    <m/>
    <m/>
    <m/>
    <m/>
    <m/>
    <m/>
    <m/>
    <m/>
    <m/>
    <m/>
    <m/>
    <m/>
    <m/>
  </r>
  <r>
    <s v="J01-10019-1"/>
    <s v="J01P33"/>
    <n v="42"/>
    <m/>
    <m/>
    <n v="10019"/>
    <s v="J01"/>
    <n v="1"/>
    <n v="0"/>
    <s v="ALISO VIEJO"/>
    <s v="SOUTH"/>
    <s v="Aliso"/>
    <n v="9434.4201411382492"/>
    <n v="3177215.6947509502"/>
    <n v="72.939063242515203"/>
    <n v="88"/>
    <n v="62"/>
    <n v="100"/>
    <n v="0"/>
    <n v="0"/>
    <n v="0"/>
    <n v="0"/>
    <n v="0"/>
    <n v="0"/>
    <n v="0"/>
    <n v="0"/>
    <n v="0"/>
    <n v="0"/>
    <n v="0"/>
    <n v="3"/>
    <n v="0.4"/>
    <n v="0.01"/>
    <n v="2"/>
    <n v="3.3999999999999998E-3"/>
    <n v="1.0200000000000001E-2"/>
    <n v="6.7999999999999996E-3"/>
    <x v="1"/>
    <s v="Flowing"/>
    <s v="Flowing"/>
    <x v="3"/>
    <m/>
    <m/>
    <m/>
    <m/>
    <m/>
    <m/>
    <m/>
    <m/>
    <m/>
    <m/>
    <m/>
    <m/>
    <m/>
    <m/>
    <m/>
    <m/>
    <m/>
    <m/>
    <m/>
  </r>
  <r>
    <s v="J01-9008-1"/>
    <s v="J01P30"/>
    <n v="84"/>
    <m/>
    <m/>
    <n v="9008"/>
    <s v="J01"/>
    <n v="1"/>
    <n v="0"/>
    <s v="ALISO VIEJO"/>
    <s v="SOUTH"/>
    <s v="Aliso"/>
    <n v="13937.690007036599"/>
    <n v="9216051.5395057593"/>
    <n v="211.57209036731101"/>
    <n v="81"/>
    <n v="57"/>
    <n v="100"/>
    <n v="0"/>
    <n v="0"/>
    <n v="0"/>
    <n v="0"/>
    <n v="0"/>
    <n v="0"/>
    <n v="0"/>
    <n v="0"/>
    <n v="0"/>
    <n v="0"/>
    <n v="0"/>
    <n v="3"/>
    <n v="1.6666666666666601"/>
    <n v="8.3333333333332996E-2"/>
    <n v="0.30169172932330801"/>
    <n v="1.1810526315789001E-2"/>
    <n v="5.0999999999999997E-2"/>
    <n v="3.5933270676691997E-2"/>
    <x v="1"/>
    <s v="Flowing"/>
    <s v="Flowing"/>
    <x v="3"/>
    <m/>
    <m/>
    <m/>
    <m/>
    <m/>
    <m/>
    <m/>
    <m/>
    <m/>
    <m/>
    <m/>
    <m/>
    <m/>
    <m/>
    <m/>
    <m/>
    <m/>
    <m/>
    <m/>
  </r>
  <r>
    <s v="J01-9046-1"/>
    <m/>
    <n v="24"/>
    <m/>
    <m/>
    <n v="9046"/>
    <s v="J01"/>
    <n v="1"/>
    <n v="0"/>
    <s v="LAKE FOREST"/>
    <s v="SOUTH"/>
    <s v="Aliso"/>
    <n v="6852.4601273021899"/>
    <n v="2862787.8548494698"/>
    <n v="65.720770780448206"/>
    <n v="78"/>
    <n v="78"/>
    <n v="0"/>
    <n v="0"/>
    <n v="0"/>
    <n v="0"/>
    <n v="0"/>
    <n v="0"/>
    <n v="100"/>
    <n v="0"/>
    <n v="0"/>
    <n v="0"/>
    <n v="0"/>
    <n v="0"/>
    <n v="1"/>
    <n v="0.41"/>
    <n v="0.04"/>
    <n v="1.5"/>
    <n v="2.0910000000000002E-2"/>
    <n v="2.0910000000000002E-2"/>
    <n v="2.0910000000000002E-2"/>
    <x v="0"/>
    <m/>
    <m/>
    <x v="0"/>
    <m/>
    <m/>
    <m/>
    <m/>
    <m/>
    <m/>
    <m/>
    <m/>
    <m/>
    <m/>
    <m/>
    <m/>
    <m/>
    <m/>
    <m/>
    <m/>
    <m/>
    <m/>
    <m/>
  </r>
  <r>
    <s v="J01-9066-1"/>
    <m/>
    <n v="36"/>
    <m/>
    <m/>
    <n v="9066"/>
    <s v="J01"/>
    <n v="1"/>
    <n v="0"/>
    <s v="LAKE FOREST"/>
    <s v="SOUTH"/>
    <s v="Aliso"/>
    <n v="14245.7482347801"/>
    <n v="3577210.3820237801"/>
    <n v="82.121706347250907"/>
    <n v="100"/>
    <n v="65"/>
    <n v="0"/>
    <n v="0"/>
    <n v="0"/>
    <n v="0"/>
    <n v="0"/>
    <n v="0"/>
    <n v="3"/>
    <n v="97"/>
    <n v="0"/>
    <n v="0"/>
    <n v="0"/>
    <n v="0"/>
    <n v="2"/>
    <n v="0.65"/>
    <n v="0.02"/>
    <n v="0.7"/>
    <n v="2.0400000000000001E-3"/>
    <n v="1.7850000000000001E-2"/>
    <n v="9.9450000000000007E-3"/>
    <x v="0"/>
    <m/>
    <m/>
    <x v="0"/>
    <m/>
    <m/>
    <m/>
    <m/>
    <m/>
    <m/>
    <m/>
    <m/>
    <m/>
    <m/>
    <m/>
    <m/>
    <m/>
    <m/>
    <m/>
    <m/>
    <m/>
    <m/>
    <m/>
  </r>
  <r>
    <s v="J01-9082-3"/>
    <m/>
    <n v="48"/>
    <m/>
    <m/>
    <n v="9082"/>
    <s v="J01"/>
    <n v="1"/>
    <n v="0"/>
    <s v="ALISO VIEJO"/>
    <s v="SOUTH"/>
    <s v="Aliso"/>
    <n v="10619.0299810373"/>
    <n v="5430205.8138061604"/>
    <n v="124.660760655133"/>
    <n v="84"/>
    <n v="82"/>
    <n v="98"/>
    <n v="0"/>
    <n v="0"/>
    <n v="0"/>
    <n v="0"/>
    <n v="0"/>
    <n v="0"/>
    <n v="0"/>
    <n v="2"/>
    <n v="0"/>
    <n v="0"/>
    <n v="0"/>
    <n v="1"/>
    <n v="1.05"/>
    <n v="4.4999999999999998E-2"/>
    <n v="1.8181818181818099"/>
    <n v="7.3022727272727003E-2"/>
    <n v="7.3022727272727003E-2"/>
    <n v="7.3022727272727003E-2"/>
    <x v="0"/>
    <m/>
    <m/>
    <x v="0"/>
    <m/>
    <m/>
    <m/>
    <m/>
    <m/>
    <m/>
    <m/>
    <m/>
    <m/>
    <m/>
    <m/>
    <m/>
    <m/>
    <m/>
    <m/>
    <m/>
    <m/>
    <m/>
    <m/>
  </r>
  <r>
    <s v="J01-9131-1"/>
    <s v="J01P28"/>
    <n v="96"/>
    <m/>
    <m/>
    <n v="9131"/>
    <s v="J01"/>
    <n v="1"/>
    <n v="0"/>
    <s v="ALISO VIEJO"/>
    <s v="SOUTH"/>
    <s v="Aliso"/>
    <n v="17724.618810611901"/>
    <n v="12474938.274098299"/>
    <n v="286.38606853925103"/>
    <n v="77"/>
    <n v="31"/>
    <n v="100"/>
    <n v="0"/>
    <n v="0"/>
    <n v="0"/>
    <n v="0"/>
    <n v="0"/>
    <n v="0"/>
    <n v="0"/>
    <n v="0"/>
    <n v="0"/>
    <n v="0"/>
    <n v="0"/>
    <n v="1"/>
    <n v="1.4"/>
    <n v="0.12"/>
    <n v="2"/>
    <n v="0.28560000000000002"/>
    <n v="0.28560000000000002"/>
    <n v="0.28560000000000002"/>
    <x v="0"/>
    <m/>
    <m/>
    <x v="0"/>
    <m/>
    <m/>
    <m/>
    <m/>
    <m/>
    <m/>
    <m/>
    <m/>
    <m/>
    <m/>
    <m/>
    <m/>
    <m/>
    <m/>
    <m/>
    <m/>
    <m/>
    <m/>
    <m/>
  </r>
  <r>
    <s v="J01-9144-1"/>
    <s v="J01P23"/>
    <n v="96"/>
    <m/>
    <m/>
    <n v="9144"/>
    <s v="J01"/>
    <n v="1"/>
    <n v="0"/>
    <s v="LAGUNA NIGUEL"/>
    <s v="SOUTH"/>
    <s v="Aliso"/>
    <n v="15072.759800878601"/>
    <n v="7642655.9331909399"/>
    <n v="175.45178483561901"/>
    <n v="68"/>
    <n v="35"/>
    <n v="100"/>
    <n v="0"/>
    <n v="0"/>
    <n v="0"/>
    <n v="0"/>
    <n v="0"/>
    <n v="0"/>
    <n v="0"/>
    <n v="0"/>
    <n v="0"/>
    <n v="0"/>
    <n v="0"/>
    <n v="4"/>
    <n v="0.7"/>
    <n v="1.4999999999999999E-2"/>
    <n v="0.371428571428571"/>
    <n v="8.4999999999999995E-4"/>
    <n v="1.5299999999999999E-2"/>
    <n v="4.9583333333329998E-3"/>
    <x v="1"/>
    <s v="Flowing"/>
    <s v="Flowing"/>
    <x v="3"/>
    <m/>
    <m/>
    <m/>
    <m/>
    <m/>
    <m/>
    <m/>
    <m/>
    <m/>
    <m/>
    <m/>
    <m/>
    <m/>
    <m/>
    <m/>
    <m/>
    <m/>
    <m/>
    <m/>
  </r>
  <r>
    <s v="J01-9144-4"/>
    <s v="J01P26"/>
    <n v="78"/>
    <m/>
    <m/>
    <n v="9144"/>
    <s v="J01"/>
    <n v="1"/>
    <n v="0"/>
    <s v="ALISO VIEJO"/>
    <s v="SOUTH"/>
    <s v="Aliso"/>
    <n v="19730.3538222077"/>
    <n v="8428527.0704872292"/>
    <n v="193.49295990548299"/>
    <n v="82"/>
    <n v="52"/>
    <n v="100"/>
    <n v="0"/>
    <n v="0"/>
    <n v="0"/>
    <n v="0"/>
    <n v="0"/>
    <n v="0"/>
    <n v="0"/>
    <n v="0"/>
    <n v="0"/>
    <n v="0"/>
    <n v="0"/>
    <n v="1"/>
    <n v="1.75"/>
    <n v="0.12"/>
    <n v="0.05"/>
    <n v="8.9250000000000006E-3"/>
    <n v="8.9250000000000006E-3"/>
    <n v="8.9250000000000006E-3"/>
    <x v="0"/>
    <m/>
    <m/>
    <x v="0"/>
    <m/>
    <m/>
    <m/>
    <m/>
    <m/>
    <m/>
    <m/>
    <m/>
    <m/>
    <m/>
    <m/>
    <m/>
    <m/>
    <m/>
    <m/>
    <m/>
    <m/>
    <m/>
    <m/>
  </r>
  <r>
    <s v="J01-9313-1"/>
    <m/>
    <n v="54"/>
    <m/>
    <m/>
    <n v="9313"/>
    <s v="J01"/>
    <n v="1"/>
    <n v="0"/>
    <s v="ALISO VIEJO"/>
    <s v="SOUTH"/>
    <s v="Aliso"/>
    <n v="13044.0965587887"/>
    <n v="5984108.3474733299"/>
    <n v="137.37665274898299"/>
    <n v="91"/>
    <n v="91"/>
    <n v="99"/>
    <n v="0"/>
    <n v="0"/>
    <n v="0"/>
    <n v="0"/>
    <n v="0"/>
    <n v="0"/>
    <n v="0"/>
    <n v="1"/>
    <n v="0"/>
    <n v="0"/>
    <n v="0"/>
    <n v="1"/>
    <n v="1"/>
    <n v="0.05"/>
    <n v="1"/>
    <n v="4.2500000000000003E-2"/>
    <n v="4.2500000000000003E-2"/>
    <n v="4.2500000000000003E-2"/>
    <x v="0"/>
    <m/>
    <m/>
    <x v="0"/>
    <m/>
    <m/>
    <m/>
    <m/>
    <m/>
    <m/>
    <m/>
    <m/>
    <m/>
    <m/>
    <m/>
    <m/>
    <m/>
    <m/>
    <m/>
    <m/>
    <m/>
    <m/>
    <m/>
  </r>
  <r>
    <s v="J01-9349-1"/>
    <m/>
    <n v="36"/>
    <m/>
    <m/>
    <n v="9349"/>
    <s v="J01"/>
    <n v="1"/>
    <n v="0"/>
    <s v="LAKE FOREST"/>
    <s v="SOUTH"/>
    <s v="Aliso"/>
    <n v="7585.0229518530996"/>
    <n v="3036416.5595865799"/>
    <n v="69.706749792341895"/>
    <n v="55"/>
    <n v="55"/>
    <n v="0"/>
    <n v="0"/>
    <n v="0"/>
    <n v="0"/>
    <n v="0"/>
    <n v="0"/>
    <n v="100"/>
    <n v="0"/>
    <n v="0"/>
    <n v="0"/>
    <n v="0"/>
    <n v="0"/>
    <n v="1"/>
    <n v="0.5"/>
    <n v="0.01"/>
    <n v="2"/>
    <n v="8.5000000000000006E-3"/>
    <n v="8.5000000000000006E-3"/>
    <n v="8.5000000000000006E-3"/>
    <x v="0"/>
    <m/>
    <m/>
    <x v="0"/>
    <m/>
    <m/>
    <m/>
    <m/>
    <m/>
    <m/>
    <m/>
    <m/>
    <m/>
    <m/>
    <m/>
    <m/>
    <m/>
    <m/>
    <m/>
    <m/>
    <m/>
    <m/>
    <m/>
  </r>
  <r>
    <s v="J01-9377-1"/>
    <m/>
    <n v="36"/>
    <m/>
    <m/>
    <n v="9377"/>
    <s v="J01"/>
    <n v="1"/>
    <n v="0"/>
    <s v="LAKE FOREST"/>
    <s v="SOUTH"/>
    <s v="Aliso"/>
    <n v="6237.8938662394303"/>
    <n v="1500498.79180891"/>
    <n v="34.446819727058802"/>
    <n v="50"/>
    <n v="50"/>
    <n v="0"/>
    <n v="0"/>
    <n v="0"/>
    <n v="0"/>
    <n v="0"/>
    <n v="0"/>
    <n v="98"/>
    <n v="2"/>
    <n v="0"/>
    <n v="0"/>
    <n v="0"/>
    <n v="0"/>
    <n v="1"/>
    <n v="0.3"/>
    <n v="5.0000000000000001E-3"/>
    <n v="0.02"/>
    <n v="2.55E-5"/>
    <n v="2.55E-5"/>
    <n v="2.55E-5"/>
    <x v="0"/>
    <m/>
    <m/>
    <x v="0"/>
    <m/>
    <m/>
    <m/>
    <m/>
    <m/>
    <m/>
    <m/>
    <m/>
    <m/>
    <m/>
    <m/>
    <m/>
    <m/>
    <m/>
    <m/>
    <m/>
    <m/>
    <m/>
    <m/>
  </r>
  <r>
    <s v="J01-9785-1"/>
    <m/>
    <n v="60"/>
    <m/>
    <m/>
    <n v="9785"/>
    <s v="J01"/>
    <n v="1"/>
    <n v="0"/>
    <s v="LAKE FOREST"/>
    <s v="SOUTH"/>
    <s v="Aliso"/>
    <n v="4200.6304900893701"/>
    <n v="925933.505251172"/>
    <n v="21.256574619549902"/>
    <n v="100"/>
    <n v="100"/>
    <n v="0"/>
    <n v="0"/>
    <n v="0"/>
    <n v="0"/>
    <n v="0"/>
    <n v="0"/>
    <n v="100"/>
    <n v="0"/>
    <n v="0"/>
    <n v="0"/>
    <n v="0"/>
    <n v="0"/>
    <n v="1"/>
    <n v="1"/>
    <n v="0.02"/>
    <n v="0.05"/>
    <n v="8.4999999999999995E-4"/>
    <n v="8.4999999999999995E-4"/>
    <n v="8.4999999999999995E-4"/>
    <x v="0"/>
    <m/>
    <m/>
    <x v="0"/>
    <m/>
    <m/>
    <m/>
    <m/>
    <m/>
    <m/>
    <m/>
    <m/>
    <m/>
    <m/>
    <m/>
    <m/>
    <m/>
    <m/>
    <m/>
    <m/>
    <m/>
    <m/>
    <m/>
  </r>
  <r>
    <s v="J01-9992-1"/>
    <s v="J01P27"/>
    <n v="90"/>
    <m/>
    <m/>
    <n v="9992"/>
    <s v="J01"/>
    <n v="1"/>
    <n v="0"/>
    <s v="ALISO VIEJO"/>
    <s v="SOUTH"/>
    <s v="Aliso"/>
    <n v="32526.203896617499"/>
    <n v="24125242.085381299"/>
    <n v="553.84107572984499"/>
    <n v="83"/>
    <n v="45"/>
    <n v="100"/>
    <n v="0"/>
    <n v="0"/>
    <n v="0"/>
    <n v="0"/>
    <n v="0"/>
    <n v="0"/>
    <n v="0"/>
    <n v="0"/>
    <n v="0"/>
    <n v="0"/>
    <n v="0"/>
    <n v="3"/>
    <n v="1.55"/>
    <n v="7.3333333333333001E-2"/>
    <n v="1.05"/>
    <n v="6.3750000000000001E-2"/>
    <n v="0.11475"/>
    <n v="9.758E-2"/>
    <x v="0"/>
    <m/>
    <m/>
    <x v="0"/>
    <m/>
    <m/>
    <m/>
    <m/>
    <m/>
    <m/>
    <m/>
    <m/>
    <m/>
    <m/>
    <m/>
    <m/>
    <m/>
    <m/>
    <m/>
    <m/>
    <m/>
    <m/>
    <m/>
  </r>
  <r>
    <s v="J03-9368-1"/>
    <s v="J03TBN1"/>
    <n v="48"/>
    <m/>
    <m/>
    <n v="9368"/>
    <s v="J03"/>
    <n v="1"/>
    <n v="0"/>
    <s v="LAGUNA NIGUEL"/>
    <s v="SOUTH"/>
    <s v="Aliso"/>
    <n v="12367.8105293232"/>
    <n v="4022472.2006056202"/>
    <n v="92.343543032331098"/>
    <n v="91"/>
    <n v="73"/>
    <n v="0"/>
    <n v="0"/>
    <n v="0"/>
    <n v="0"/>
    <n v="99"/>
    <n v="0"/>
    <n v="0"/>
    <n v="0"/>
    <n v="0"/>
    <n v="0"/>
    <n v="0"/>
    <n v="1"/>
    <n v="2"/>
    <n v="0.3"/>
    <n v="8.5000000000000006E-3"/>
    <n v="1.1000000000000001"/>
    <n v="1.7849999999999999E-3"/>
    <n v="3.0599999999999998E-3"/>
    <n v="2.4225000000000002E-3"/>
    <x v="1"/>
    <s v="Flowing"/>
    <s v="Flowing"/>
    <x v="3"/>
    <m/>
    <m/>
    <m/>
    <m/>
    <m/>
    <m/>
    <m/>
    <m/>
    <m/>
    <m/>
    <m/>
    <m/>
    <m/>
    <m/>
    <m/>
    <m/>
    <m/>
    <m/>
    <m/>
  </r>
  <r>
    <s v="J03-9368-2"/>
    <s v="J03TBN2"/>
    <n v="60"/>
    <m/>
    <m/>
    <n v="9368"/>
    <s v="J03"/>
    <n v="1"/>
    <n v="0"/>
    <s v="LAGUNA NIGUEL"/>
    <s v="SOUTH"/>
    <s v="Aliso"/>
    <n v="6407.3449032214703"/>
    <n v="1491107.42977236"/>
    <n v="34.231223048920299"/>
    <n v="90"/>
    <n v="90"/>
    <n v="0"/>
    <n v="0"/>
    <n v="0"/>
    <n v="0"/>
    <n v="100"/>
    <n v="0"/>
    <n v="0"/>
    <n v="0"/>
    <n v="0"/>
    <n v="0"/>
    <n v="0"/>
    <n v="0"/>
    <n v="2"/>
    <n v="0.215"/>
    <n v="1.4999999999999999E-2"/>
    <n v="1.1666666666666601"/>
    <n v="1.813333333333E-3"/>
    <n v="2.9750000000000002E-3"/>
    <n v="2.3941666666669999E-3"/>
    <x v="1"/>
    <s v="Flowing"/>
    <s v="Flowing"/>
    <x v="3"/>
    <m/>
    <m/>
    <m/>
    <m/>
    <m/>
    <m/>
    <m/>
    <m/>
    <m/>
    <m/>
    <m/>
    <m/>
    <m/>
    <m/>
    <m/>
    <m/>
    <m/>
    <m/>
    <m/>
  </r>
  <r>
    <s v="J07-9109-1"/>
    <m/>
    <n v="36"/>
    <m/>
    <m/>
    <n v="9109"/>
    <s v="J07"/>
    <n v="1"/>
    <n v="0"/>
    <s v="MISSION VIEJO"/>
    <s v="SOUTH"/>
    <s v="Aliso"/>
    <m/>
    <m/>
    <m/>
    <m/>
    <m/>
    <m/>
    <m/>
    <m/>
    <m/>
    <m/>
    <m/>
    <m/>
    <m/>
    <m/>
    <m/>
    <m/>
    <m/>
    <n v="1"/>
    <n v="0.3"/>
    <n v="0.05"/>
    <n v="0.15"/>
    <n v="1.9124999999999999E-3"/>
    <n v="1.9124999999999999E-3"/>
    <n v="1.9124999999999999E-3"/>
    <x v="0"/>
    <m/>
    <m/>
    <x v="0"/>
    <m/>
    <m/>
    <m/>
    <m/>
    <m/>
    <m/>
    <m/>
    <m/>
    <m/>
    <m/>
    <m/>
    <m/>
    <m/>
    <m/>
    <m/>
    <m/>
    <m/>
    <m/>
    <m/>
  </r>
  <r>
    <s v="J07-9109-2"/>
    <m/>
    <n v="48"/>
    <m/>
    <m/>
    <n v="9109"/>
    <s v="J07"/>
    <n v="1"/>
    <n v="0"/>
    <s v="MISSION VIEJO"/>
    <s v="SOUTH"/>
    <s v="Aliso"/>
    <n v="15823.9421951476"/>
    <n v="8912129.6553708706"/>
    <n v="204.59498221430701"/>
    <n v="60"/>
    <n v="59"/>
    <n v="0"/>
    <n v="0"/>
    <n v="0"/>
    <n v="0"/>
    <n v="0"/>
    <n v="0"/>
    <n v="2"/>
    <n v="98"/>
    <n v="0"/>
    <n v="0"/>
    <n v="0"/>
    <n v="0"/>
    <n v="2"/>
    <n v="0.65"/>
    <n v="0.26"/>
    <n v="0.42499999999999999"/>
    <n v="2.5500000000000002E-3"/>
    <n v="0.17849999999999999"/>
    <n v="9.0524999999999994E-2"/>
    <x v="3"/>
    <s v="Flowing"/>
    <s v="Flowing"/>
    <x v="3"/>
    <m/>
    <m/>
    <m/>
    <m/>
    <m/>
    <m/>
    <m/>
    <m/>
    <m/>
    <m/>
    <m/>
    <m/>
    <m/>
    <m/>
    <m/>
    <m/>
    <m/>
    <m/>
    <m/>
  </r>
  <r>
    <s v="J07-9110-1"/>
    <m/>
    <n v="36"/>
    <m/>
    <m/>
    <n v="9110"/>
    <s v="J07"/>
    <n v="1"/>
    <n v="0"/>
    <s v="MISSION VIEJO"/>
    <s v="SOUTH"/>
    <s v="Aliso"/>
    <n v="9898.5179013252291"/>
    <n v="4448267.6441821102"/>
    <n v="102.118491846385"/>
    <n v="84"/>
    <n v="84"/>
    <n v="0"/>
    <n v="0"/>
    <n v="0"/>
    <n v="0"/>
    <n v="0"/>
    <n v="0"/>
    <n v="0"/>
    <n v="100"/>
    <n v="0"/>
    <n v="0"/>
    <n v="0"/>
    <n v="0"/>
    <n v="1"/>
    <n v="0.3"/>
    <n v="5.0000000000000001E-3"/>
    <n v="0.22222222222222199"/>
    <n v="2.8333333333300002E-4"/>
    <n v="2.8333333333300002E-4"/>
    <n v="2.8333333333300002E-4"/>
    <x v="0"/>
    <m/>
    <m/>
    <x v="0"/>
    <m/>
    <m/>
    <m/>
    <m/>
    <m/>
    <m/>
    <m/>
    <m/>
    <m/>
    <m/>
    <m/>
    <m/>
    <m/>
    <m/>
    <m/>
    <m/>
    <m/>
    <m/>
    <m/>
  </r>
  <r>
    <s v="J07-9110-2"/>
    <m/>
    <n v="48"/>
    <m/>
    <m/>
    <n v="9110"/>
    <s v="J07"/>
    <n v="1"/>
    <n v="0"/>
    <s v="MISSION VIEJO"/>
    <s v="SOUTH"/>
    <s v="Aliso"/>
    <n v="11730.484596320601"/>
    <n v="5166946.30801138"/>
    <n v="118.617135170693"/>
    <n v="59"/>
    <n v="49"/>
    <n v="0"/>
    <n v="0"/>
    <n v="0"/>
    <n v="0"/>
    <n v="0"/>
    <n v="0"/>
    <n v="0"/>
    <n v="100"/>
    <n v="0"/>
    <n v="0"/>
    <n v="0"/>
    <n v="0"/>
    <n v="3"/>
    <n v="0.35"/>
    <n v="8.3333333333330002E-3"/>
    <n v="0.46666666666666701"/>
    <n v="7.4375000000000005E-4"/>
    <n v="1.3600000000000001E-3"/>
    <n v="1.1262500000000001E-3"/>
    <x v="1"/>
    <s v="Flowing"/>
    <s v="Flowing"/>
    <x v="3"/>
    <m/>
    <m/>
    <m/>
    <m/>
    <m/>
    <m/>
    <m/>
    <m/>
    <m/>
    <m/>
    <m/>
    <m/>
    <m/>
    <m/>
    <m/>
    <m/>
    <m/>
    <m/>
    <m/>
  </r>
  <r>
    <s v="J07-9110-3"/>
    <m/>
    <n v="36"/>
    <m/>
    <m/>
    <n v="9110"/>
    <s v="J07"/>
    <n v="1"/>
    <n v="0"/>
    <s v="MISSION VIEJO"/>
    <s v="SOUTH"/>
    <s v="Aliso"/>
    <n v="9456.6566248229101"/>
    <n v="1206610.6159207299"/>
    <n v="27.700054538044501"/>
    <n v="76"/>
    <n v="76"/>
    <n v="0"/>
    <n v="0"/>
    <n v="0"/>
    <n v="0"/>
    <n v="0"/>
    <n v="0"/>
    <n v="0"/>
    <n v="100"/>
    <n v="0"/>
    <n v="0"/>
    <n v="0"/>
    <n v="0"/>
    <n v="2"/>
    <n v="0.65"/>
    <n v="8.7499999999999994E-2"/>
    <n v="0.19166666666666701"/>
    <n v="2.1249999999999999E-4"/>
    <n v="2.1193333333332998E-2"/>
    <n v="1.0702916666666999E-2"/>
    <x v="1"/>
    <s v="Flowing"/>
    <s v="Flowing"/>
    <x v="3"/>
    <m/>
    <m/>
    <m/>
    <m/>
    <m/>
    <m/>
    <m/>
    <m/>
    <m/>
    <m/>
    <m/>
    <m/>
    <m/>
    <m/>
    <m/>
    <m/>
    <m/>
    <m/>
    <m/>
  </r>
  <r>
    <s v="K01-12036-10"/>
    <m/>
    <n v="54"/>
    <m/>
    <m/>
    <n v="12036"/>
    <s v="K01"/>
    <n v="1"/>
    <n v="0"/>
    <s v="LAGUNA NIGUEL"/>
    <s v="SOUTH"/>
    <s v="Dana Point"/>
    <n v="22387.540402897899"/>
    <n v="8074763.9375076303"/>
    <n v="185.37165055531901"/>
    <n v="72"/>
    <n v="72"/>
    <n v="0"/>
    <n v="0"/>
    <n v="0"/>
    <n v="0"/>
    <n v="100"/>
    <n v="0"/>
    <n v="0"/>
    <n v="0"/>
    <n v="0"/>
    <n v="0"/>
    <n v="0"/>
    <n v="0"/>
    <n v="2"/>
    <n v="0.76"/>
    <n v="0.03"/>
    <n v="0.30788153579008298"/>
    <n v="1.9124999999999999E-3"/>
    <n v="5.2643256801079997E-3"/>
    <n v="3.5884128400539999E-3"/>
    <x v="0"/>
    <m/>
    <m/>
    <x v="0"/>
    <m/>
    <m/>
    <m/>
    <m/>
    <m/>
    <m/>
    <m/>
    <m/>
    <m/>
    <m/>
    <m/>
    <m/>
    <m/>
    <m/>
    <m/>
    <m/>
    <m/>
    <m/>
    <m/>
  </r>
  <r>
    <s v="K01-12036-5"/>
    <m/>
    <n v="42"/>
    <m/>
    <m/>
    <n v="12036"/>
    <s v="K01"/>
    <n v="1"/>
    <n v="0"/>
    <s v="LAGUNA NIGUEL"/>
    <s v="SOUTH"/>
    <s v="Dana Point"/>
    <n v="6831.0000486383196"/>
    <n v="1222998.1249955599"/>
    <n v="28.076261152776699"/>
    <n v="82"/>
    <n v="82"/>
    <n v="0"/>
    <n v="0"/>
    <n v="0"/>
    <n v="0"/>
    <n v="100"/>
    <n v="0"/>
    <n v="0"/>
    <n v="0"/>
    <n v="0"/>
    <n v="0"/>
    <n v="0"/>
    <n v="0"/>
    <n v="3"/>
    <n v="2.2333333333333298"/>
    <n v="0.08"/>
    <n v="0.53888888888888897"/>
    <n v="3.4424999999999997E-2"/>
    <n v="6.6640000000000005E-2"/>
    <n v="5.1821666666667002E-2"/>
    <x v="0"/>
    <m/>
    <m/>
    <x v="0"/>
    <m/>
    <m/>
    <m/>
    <m/>
    <m/>
    <m/>
    <m/>
    <m/>
    <m/>
    <m/>
    <m/>
    <m/>
    <m/>
    <m/>
    <m/>
    <m/>
    <m/>
    <m/>
    <m/>
  </r>
  <r>
    <s v="K01-12138-1"/>
    <s v="K01TBN1"/>
    <n v="42"/>
    <m/>
    <m/>
    <n v="12138"/>
    <s v="K01"/>
    <n v="1"/>
    <n v="0"/>
    <s v="LAGUNA NIGUEL"/>
    <s v="SOUTH"/>
    <s v="Dana Point"/>
    <n v="12361.4369690968"/>
    <n v="3956637.4918455398"/>
    <n v="90.832181372580806"/>
    <n v="96"/>
    <n v="96"/>
    <n v="0"/>
    <n v="0"/>
    <n v="0"/>
    <n v="0"/>
    <n v="100"/>
    <n v="0"/>
    <n v="0"/>
    <n v="0"/>
    <n v="0"/>
    <n v="0"/>
    <n v="0"/>
    <n v="0"/>
    <n v="2"/>
    <n v="0.375"/>
    <n v="1.2500000000000001E-2"/>
    <n v="1.3333333333333299"/>
    <n v="1.4875000000000001E-3"/>
    <n v="1.1333333333332999E-2"/>
    <n v="6.4104166666669998E-3"/>
    <x v="0"/>
    <m/>
    <m/>
    <x v="0"/>
    <m/>
    <m/>
    <m/>
    <m/>
    <m/>
    <m/>
    <m/>
    <m/>
    <m/>
    <m/>
    <m/>
    <m/>
    <m/>
    <m/>
    <m/>
    <m/>
    <m/>
    <m/>
    <m/>
  </r>
  <r>
    <s v="K01-12156-4"/>
    <m/>
    <n v="192"/>
    <m/>
    <m/>
    <n v="12156"/>
    <s v="K01"/>
    <n v="1"/>
    <n v="2"/>
    <s v="LAGUNA NIGUEL"/>
    <s v="SOUTH"/>
    <s v="Dana Point"/>
    <n v="38968.786771960898"/>
    <n v="60942158.232183099"/>
    <n v="1399.04380454125"/>
    <n v="61"/>
    <n v="58"/>
    <n v="0"/>
    <n v="0"/>
    <n v="0"/>
    <n v="0"/>
    <n v="99"/>
    <n v="0"/>
    <n v="0"/>
    <n v="0"/>
    <n v="0"/>
    <n v="0"/>
    <n v="0"/>
    <n v="1"/>
    <n v="1"/>
    <n v="2"/>
    <n v="0.1"/>
    <n v="2.4691358024691299"/>
    <n v="0.41975308641975301"/>
    <n v="0.41975308641975301"/>
    <n v="0.41975308641975301"/>
    <x v="0"/>
    <m/>
    <m/>
    <x v="0"/>
    <m/>
    <m/>
    <m/>
    <m/>
    <m/>
    <m/>
    <m/>
    <m/>
    <m/>
    <m/>
    <m/>
    <m/>
    <m/>
    <m/>
    <m/>
    <m/>
    <m/>
    <m/>
    <m/>
  </r>
  <r>
    <s v="L00-12094-1"/>
    <s v="L00P01"/>
    <n v="66"/>
    <m/>
    <m/>
    <n v="12094"/>
    <s v="L00"/>
    <n v="1"/>
    <n v="0"/>
    <s v="DANA POINT"/>
    <s v="SOUTH"/>
    <s v="San Juan Creek"/>
    <n v="13401.232118039899"/>
    <n v="5684515.4946329501"/>
    <n v="130.498925789358"/>
    <n v="100"/>
    <n v="70"/>
    <n v="0"/>
    <n v="100"/>
    <n v="0"/>
    <n v="0"/>
    <n v="0"/>
    <n v="0"/>
    <n v="0"/>
    <n v="0"/>
    <n v="0"/>
    <n v="0"/>
    <n v="0"/>
    <n v="0"/>
    <n v="3"/>
    <n v="0.39"/>
    <n v="4.3333333333330001E-3"/>
    <n v="1.6666666666666601"/>
    <n v="5.44E-4"/>
    <n v="8.5000000000000006E-3"/>
    <n v="3.2130000000000001E-3"/>
    <x v="3"/>
    <m/>
    <s v="Pooled or Ponded"/>
    <x v="2"/>
    <m/>
    <m/>
    <m/>
    <m/>
    <m/>
    <m/>
    <m/>
    <m/>
    <m/>
    <m/>
    <m/>
    <m/>
    <m/>
    <m/>
    <m/>
    <m/>
    <m/>
    <m/>
    <m/>
  </r>
  <r>
    <s v="L01-125-2"/>
    <m/>
    <n v="45"/>
    <m/>
    <m/>
    <n v="125"/>
    <s v="L01"/>
    <n v="1"/>
    <n v="0"/>
    <s v="RANCHO SANTA MARGARITA"/>
    <s v="SOUTH"/>
    <s v="San Juan Creek"/>
    <n v="12465.159821270599"/>
    <n v="4934047.0104237199"/>
    <n v="113.27048633474899"/>
    <n v="10"/>
    <n v="9"/>
    <n v="0"/>
    <n v="0"/>
    <n v="0"/>
    <n v="0"/>
    <n v="0"/>
    <n v="0"/>
    <n v="0"/>
    <n v="0"/>
    <n v="52"/>
    <n v="48"/>
    <n v="0"/>
    <n v="0"/>
    <n v="1"/>
    <n v="0.3"/>
    <n v="0.7"/>
    <n v="0.2"/>
    <n v="3.5700000000000003E-2"/>
    <n v="3.5700000000000003E-2"/>
    <n v="3.5700000000000003E-2"/>
    <x v="0"/>
    <m/>
    <m/>
    <x v="0"/>
    <m/>
    <m/>
    <m/>
    <m/>
    <m/>
    <m/>
    <m/>
    <m/>
    <m/>
    <m/>
    <m/>
    <m/>
    <m/>
    <m/>
    <m/>
    <m/>
    <m/>
    <m/>
    <m/>
  </r>
  <r>
    <s v="L01-218-2"/>
    <m/>
    <n v="36"/>
    <m/>
    <m/>
    <n v="218"/>
    <s v="L01"/>
    <n v="1"/>
    <n v="0"/>
    <s v="RANCHO SANTA MARGARITA"/>
    <s v="SOUTH"/>
    <s v="San Juan Creek"/>
    <n v="5492.3137018510897"/>
    <n v="1418445.20898326"/>
    <n v="32.563122791757003"/>
    <n v="79"/>
    <n v="79"/>
    <n v="0"/>
    <n v="0"/>
    <n v="0"/>
    <n v="0"/>
    <n v="0"/>
    <n v="0"/>
    <n v="0"/>
    <n v="0"/>
    <n v="0"/>
    <n v="100"/>
    <n v="0"/>
    <n v="0"/>
    <n v="1"/>
    <n v="0.3"/>
    <n v="0.01"/>
    <n v="2"/>
    <n v="5.1000000000000004E-3"/>
    <n v="5.1000000000000004E-3"/>
    <n v="5.1000000000000004E-3"/>
    <x v="0"/>
    <m/>
    <m/>
    <x v="0"/>
    <m/>
    <m/>
    <m/>
    <m/>
    <m/>
    <m/>
    <m/>
    <m/>
    <m/>
    <m/>
    <m/>
    <m/>
    <m/>
    <m/>
    <m/>
    <m/>
    <m/>
    <m/>
    <m/>
  </r>
  <r>
    <s v="L01-223-1"/>
    <s v="L08TBN1"/>
    <n v="60"/>
    <m/>
    <m/>
    <n v="223"/>
    <s v="L01"/>
    <n v="1"/>
    <n v="0"/>
    <s v="RANCHO SANTA MARGARITA"/>
    <s v="SOUTH"/>
    <s v="San Juan Creek"/>
    <n v="13991.243002029199"/>
    <n v="5962437.9382879501"/>
    <n v="136.87916705776101"/>
    <n v="52"/>
    <n v="52"/>
    <n v="0"/>
    <n v="0"/>
    <n v="0"/>
    <n v="0"/>
    <n v="0"/>
    <n v="0"/>
    <n v="0"/>
    <n v="0"/>
    <n v="4"/>
    <n v="96"/>
    <n v="0"/>
    <n v="0"/>
    <n v="1"/>
    <n v="0.2"/>
    <n v="0.02"/>
    <n v="1"/>
    <n v="3.3999999999999998E-3"/>
    <n v="3.3999999999999998E-3"/>
    <n v="3.3999999999999998E-3"/>
    <x v="0"/>
    <m/>
    <m/>
    <x v="0"/>
    <m/>
    <m/>
    <m/>
    <m/>
    <m/>
    <m/>
    <m/>
    <m/>
    <m/>
    <m/>
    <m/>
    <m/>
    <m/>
    <m/>
    <m/>
    <m/>
    <m/>
    <m/>
    <m/>
  </r>
  <r>
    <s v="L01-261-1"/>
    <s v="L07"/>
    <n v="66"/>
    <m/>
    <m/>
    <n v="261"/>
    <s v="L01"/>
    <n v="1"/>
    <n v="0"/>
    <s v="ORANGE CO"/>
    <s v="SOUTH"/>
    <s v="San Juan Creek"/>
    <n v="13724.701221622399"/>
    <n v="6518239.4396117097"/>
    <n v="149.63865358626899"/>
    <n v="55"/>
    <n v="55"/>
    <n v="0"/>
    <n v="0"/>
    <n v="0"/>
    <n v="0"/>
    <n v="0"/>
    <n v="0"/>
    <n v="0"/>
    <n v="0"/>
    <n v="100"/>
    <n v="0"/>
    <n v="0"/>
    <n v="0"/>
    <n v="1"/>
    <n v="0.94"/>
    <n v="0.01"/>
    <n v="0.6"/>
    <n v="4.7939999999999997E-3"/>
    <n v="4.7939999999999997E-3"/>
    <n v="4.7939999999999997E-3"/>
    <x v="0"/>
    <m/>
    <m/>
    <x v="0"/>
    <m/>
    <m/>
    <m/>
    <m/>
    <m/>
    <m/>
    <m/>
    <m/>
    <m/>
    <m/>
    <m/>
    <m/>
    <m/>
    <m/>
    <m/>
    <m/>
    <m/>
    <m/>
    <m/>
  </r>
  <r>
    <s v="L01-340-1"/>
    <m/>
    <n v="90"/>
    <m/>
    <m/>
    <n v="340"/>
    <s v="L01"/>
    <n v="1"/>
    <n v="0"/>
    <s v="ORANGE CO"/>
    <s v="SOUTH"/>
    <s v="San Juan Creek"/>
    <n v="14406.755887253101"/>
    <n v="7382165.0242005"/>
    <n v="169.471717786239"/>
    <n v="66"/>
    <n v="66"/>
    <n v="0"/>
    <n v="0"/>
    <n v="0"/>
    <n v="0"/>
    <n v="0"/>
    <n v="0"/>
    <n v="0"/>
    <n v="0"/>
    <n v="99"/>
    <n v="1"/>
    <n v="0"/>
    <n v="0"/>
    <n v="2"/>
    <n v="0.65"/>
    <n v="4.4999999999999998E-2"/>
    <n v="1.75"/>
    <n v="3.8249999999999999E-2"/>
    <n v="4.0800000000000003E-2"/>
    <n v="3.9524999999999998E-2"/>
    <x v="0"/>
    <m/>
    <m/>
    <x v="3"/>
    <m/>
    <m/>
    <m/>
    <m/>
    <m/>
    <m/>
    <m/>
    <m/>
    <m/>
    <m/>
    <m/>
    <m/>
    <m/>
    <m/>
    <m/>
    <m/>
    <m/>
    <m/>
    <m/>
  </r>
  <r>
    <s v="L01-372-1"/>
    <m/>
    <n v="42"/>
    <m/>
    <m/>
    <n v="372"/>
    <s v="L01"/>
    <n v="1"/>
    <n v="0"/>
    <s v="ORANGE CO"/>
    <s v="SOUTH"/>
    <s v="San Juan Creek"/>
    <n v="11448.839578814899"/>
    <n v="5123289.6766964504"/>
    <n v="117.61491369807"/>
    <n v="57"/>
    <n v="57"/>
    <n v="0"/>
    <n v="0"/>
    <n v="0"/>
    <n v="0"/>
    <n v="0"/>
    <n v="0"/>
    <n v="0"/>
    <n v="0"/>
    <n v="100"/>
    <n v="0"/>
    <n v="0"/>
    <n v="0"/>
    <n v="1"/>
    <n v="0.64"/>
    <n v="0.02"/>
    <n v="0.75"/>
    <n v="8.1600000000000006E-3"/>
    <n v="8.1600000000000006E-3"/>
    <n v="8.1600000000000006E-3"/>
    <x v="0"/>
    <m/>
    <m/>
    <x v="0"/>
    <m/>
    <m/>
    <m/>
    <m/>
    <m/>
    <m/>
    <m/>
    <m/>
    <m/>
    <m/>
    <m/>
    <m/>
    <m/>
    <m/>
    <m/>
    <m/>
    <m/>
    <m/>
    <m/>
  </r>
  <r>
    <s v="L01-404-1"/>
    <m/>
    <n v="72"/>
    <m/>
    <m/>
    <n v="404"/>
    <s v="L01"/>
    <n v="1"/>
    <n v="0"/>
    <s v="ORANGE CO"/>
    <s v="SOUTH"/>
    <s v="San Juan Creek"/>
    <n v="16322.2209226676"/>
    <n v="10358119.365329999"/>
    <n v="237.79044170954401"/>
    <n v="49"/>
    <n v="49"/>
    <n v="0"/>
    <n v="0"/>
    <n v="0"/>
    <n v="0"/>
    <n v="0"/>
    <n v="0"/>
    <n v="0"/>
    <n v="0"/>
    <n v="100"/>
    <n v="0"/>
    <n v="0"/>
    <n v="0"/>
    <n v="2"/>
    <n v="0.5"/>
    <n v="3.5000000000000003E-2"/>
    <n v="2"/>
    <n v="5.1000000000000004E-3"/>
    <n v="6.5024999999999999E-2"/>
    <n v="3.5062500000000003E-2"/>
    <x v="1"/>
    <s v="Flowing"/>
    <s v="Flowing"/>
    <x v="3"/>
    <m/>
    <m/>
    <m/>
    <m/>
    <m/>
    <m/>
    <m/>
    <m/>
    <m/>
    <m/>
    <m/>
    <m/>
    <m/>
    <m/>
    <m/>
    <m/>
    <m/>
    <m/>
    <m/>
  </r>
  <r>
    <s v="L01-618-5"/>
    <s v="L01S09"/>
    <m/>
    <n v="53"/>
    <n v="120"/>
    <n v="618"/>
    <s v="L01"/>
    <n v="1"/>
    <n v="1"/>
    <s v="SAN JUAN CAPISTRANO"/>
    <s v="SOUTH"/>
    <s v="San Juan Creek"/>
    <n v="27515.828511582698"/>
    <n v="17119285.968831599"/>
    <n v="393.00595298273799"/>
    <n v="30"/>
    <n v="29"/>
    <n v="0"/>
    <n v="0"/>
    <n v="0"/>
    <n v="0"/>
    <n v="0"/>
    <n v="0"/>
    <n v="0"/>
    <n v="0"/>
    <n v="0"/>
    <n v="0"/>
    <n v="0"/>
    <n v="100"/>
    <n v="2"/>
    <n v="0.32500000000000001"/>
    <n v="1.4999999999999999E-2"/>
    <n v="0.66666666666666696"/>
    <n v="1.9124999999999999E-3"/>
    <n v="2.5500000000000002E-3"/>
    <n v="2.2312500000000002E-3"/>
    <x v="3"/>
    <s v="Dry"/>
    <s v="Dry"/>
    <x v="3"/>
    <m/>
    <m/>
    <m/>
    <m/>
    <m/>
    <m/>
    <m/>
    <m/>
    <m/>
    <m/>
    <m/>
    <m/>
    <m/>
    <m/>
    <m/>
    <m/>
    <m/>
    <m/>
    <m/>
  </r>
  <r>
    <s v="L01-724-1"/>
    <s v="L01S01"/>
    <m/>
    <n v="4"/>
    <n v="7"/>
    <n v="724"/>
    <s v="L01"/>
    <n v="1"/>
    <n v="1"/>
    <s v="SAN JUAN CAPISTRANO"/>
    <s v="SOUTH"/>
    <s v="San Juan Creek"/>
    <n v="18109.472112442701"/>
    <n v="12124199.9214973"/>
    <n v="278.33419880808901"/>
    <n v="89"/>
    <n v="85"/>
    <n v="0"/>
    <n v="37"/>
    <n v="0"/>
    <n v="0"/>
    <n v="24"/>
    <n v="0"/>
    <n v="0"/>
    <n v="0"/>
    <n v="0"/>
    <n v="0"/>
    <n v="0"/>
    <n v="39"/>
    <n v="2"/>
    <n v="1.85"/>
    <n v="0.02"/>
    <n v="1.25"/>
    <n v="2.7199999999999998E-2"/>
    <n v="5.355E-2"/>
    <n v="4.0375000000000001E-2"/>
    <x v="3"/>
    <s v="Pooled or Ponded"/>
    <s v="Pooled or Ponded"/>
    <x v="1"/>
    <m/>
    <m/>
    <m/>
    <m/>
    <m/>
    <m/>
    <m/>
    <m/>
    <m/>
    <m/>
    <m/>
    <m/>
    <m/>
    <m/>
    <m/>
    <m/>
    <m/>
    <m/>
    <m/>
  </r>
  <r>
    <s v="L01-727-1"/>
    <s v="L01S04"/>
    <n v="96"/>
    <m/>
    <m/>
    <n v="727"/>
    <s v="L01"/>
    <n v="1"/>
    <n v="0"/>
    <s v="DANA POINT"/>
    <s v="SOUTH"/>
    <s v="San Juan Creek"/>
    <n v="27645.182571798199"/>
    <n v="18800779.801328599"/>
    <n v="431.607860052825"/>
    <n v="84"/>
    <n v="81"/>
    <n v="0"/>
    <n v="99"/>
    <n v="0"/>
    <n v="0"/>
    <n v="1"/>
    <n v="0"/>
    <n v="0"/>
    <n v="0"/>
    <n v="0"/>
    <n v="0"/>
    <n v="0"/>
    <n v="0"/>
    <n v="1"/>
    <n v="1.3"/>
    <n v="7.0000000000000007E-2"/>
    <n v="1.1320754716981101"/>
    <n v="8.7566037735849006E-2"/>
    <n v="8.7566037735849006E-2"/>
    <n v="8.7566037735849006E-2"/>
    <x v="0"/>
    <m/>
    <m/>
    <x v="0"/>
    <m/>
    <m/>
    <m/>
    <m/>
    <m/>
    <m/>
    <m/>
    <m/>
    <m/>
    <m/>
    <m/>
    <m/>
    <m/>
    <m/>
    <m/>
    <m/>
    <m/>
    <m/>
    <m/>
  </r>
  <r>
    <s v="L01-728-3"/>
    <s v="L01S02"/>
    <m/>
    <n v="11.5"/>
    <n v="11"/>
    <n v="728"/>
    <s v="L01"/>
    <n v="1"/>
    <n v="1"/>
    <s v="DANA POINT"/>
    <s v="SOUTH"/>
    <s v="San Juan Creek"/>
    <n v="39643.503664076903"/>
    <n v="45297074.240426198"/>
    <n v="1039.8809776061901"/>
    <n v="43"/>
    <n v="28"/>
    <n v="0"/>
    <n v="11"/>
    <n v="0"/>
    <n v="0"/>
    <n v="0"/>
    <n v="0"/>
    <n v="0"/>
    <n v="0"/>
    <n v="0"/>
    <n v="0"/>
    <n v="0"/>
    <n v="89"/>
    <n v="1"/>
    <n v="2"/>
    <n v="0.12"/>
    <n v="0.5"/>
    <n v="0.10199999999999999"/>
    <n v="0.10199999999999999"/>
    <n v="0.10199999999999999"/>
    <x v="0"/>
    <m/>
    <m/>
    <x v="0"/>
    <m/>
    <m/>
    <m/>
    <m/>
    <m/>
    <m/>
    <m/>
    <m/>
    <m/>
    <m/>
    <m/>
    <m/>
    <m/>
    <m/>
    <m/>
    <m/>
    <m/>
    <m/>
    <m/>
  </r>
  <r>
    <s v="L01-728-5"/>
    <m/>
    <n v="60"/>
    <m/>
    <m/>
    <n v="728"/>
    <s v="L01"/>
    <n v="1"/>
    <n v="0"/>
    <s v="DANA POINT"/>
    <s v="SOUTH"/>
    <s v="San Juan Creek"/>
    <n v="8018.8700403862204"/>
    <n v="1076962.10454356"/>
    <n v="24.723724984385399"/>
    <n v="63"/>
    <n v="63"/>
    <n v="0"/>
    <n v="100"/>
    <n v="0"/>
    <n v="0"/>
    <n v="0"/>
    <n v="0"/>
    <n v="0"/>
    <n v="0"/>
    <n v="0"/>
    <n v="0"/>
    <n v="0"/>
    <n v="0"/>
    <n v="3"/>
    <n v="0.76666666666666705"/>
    <n v="1.8333333333333E-2"/>
    <n v="0.365079365079365"/>
    <n v="2.3678571428569998E-3"/>
    <n v="5.1000000000000004E-3"/>
    <n v="3.4455357142860001E-3"/>
    <x v="0"/>
    <m/>
    <m/>
    <x v="0"/>
    <m/>
    <m/>
    <m/>
    <m/>
    <m/>
    <m/>
    <m/>
    <m/>
    <m/>
    <m/>
    <m/>
    <m/>
    <m/>
    <m/>
    <m/>
    <m/>
    <m/>
    <m/>
    <m/>
  </r>
  <r>
    <s v="L01-730-1"/>
    <m/>
    <n v="36"/>
    <m/>
    <m/>
    <n v="730"/>
    <s v="L01"/>
    <n v="1"/>
    <n v="0"/>
    <s v="RANCHO SANTA MARGARITA"/>
    <s v="SOUTH"/>
    <s v="San Juan Creek"/>
    <n v="4978.8997408934101"/>
    <n v="1419284.4612243101"/>
    <n v="32.582389432164099"/>
    <n v="17"/>
    <n v="17"/>
    <n v="0"/>
    <n v="0"/>
    <n v="0"/>
    <n v="0"/>
    <n v="0"/>
    <n v="0"/>
    <n v="0"/>
    <n v="0"/>
    <n v="13"/>
    <n v="87"/>
    <n v="0"/>
    <n v="0"/>
    <n v="1"/>
    <n v="0.2"/>
    <n v="0.1"/>
    <n v="1"/>
    <n v="1.7000000000000001E-2"/>
    <n v="1.7000000000000001E-2"/>
    <n v="1.7000000000000001E-2"/>
    <x v="0"/>
    <m/>
    <m/>
    <x v="0"/>
    <m/>
    <m/>
    <m/>
    <m/>
    <m/>
    <m/>
    <m/>
    <m/>
    <m/>
    <m/>
    <m/>
    <m/>
    <m/>
    <m/>
    <m/>
    <m/>
    <m/>
    <m/>
    <m/>
  </r>
  <r>
    <s v="L01-731-1"/>
    <s v="L08TBN2"/>
    <n v="108"/>
    <m/>
    <m/>
    <n v="731"/>
    <s v="L01"/>
    <n v="1"/>
    <n v="0"/>
    <s v="RANCHO SANTA MARGARITA"/>
    <s v="SOUTH"/>
    <s v="San Juan Creek"/>
    <n v="7665.41359288078"/>
    <n v="2386104.9140470098"/>
    <n v="54.777602136512598"/>
    <n v="0"/>
    <n v="0"/>
    <n v="0"/>
    <n v="0"/>
    <n v="0"/>
    <n v="0"/>
    <n v="0"/>
    <n v="0"/>
    <n v="0"/>
    <n v="0"/>
    <n v="0"/>
    <n v="100"/>
    <n v="0"/>
    <n v="0"/>
    <n v="1"/>
    <n v="1"/>
    <n v="0.1"/>
    <n v="1"/>
    <n v="8.5000000000000006E-2"/>
    <n v="8.5000000000000006E-2"/>
    <n v="8.5000000000000006E-2"/>
    <x v="0"/>
    <m/>
    <m/>
    <x v="0"/>
    <m/>
    <m/>
    <m/>
    <m/>
    <m/>
    <m/>
    <m/>
    <m/>
    <m/>
    <m/>
    <m/>
    <m/>
    <m/>
    <m/>
    <m/>
    <m/>
    <m/>
    <m/>
    <m/>
  </r>
  <r>
    <s v="L01-747-2"/>
    <m/>
    <n v="84"/>
    <m/>
    <m/>
    <n v="747"/>
    <s v="L01"/>
    <n v="1"/>
    <n v="0"/>
    <s v="SAN JUAN CAPISTRANO"/>
    <s v="SOUTH"/>
    <s v="San Juan Creek"/>
    <n v="20442.952750516699"/>
    <n v="10481231.6816977"/>
    <n v="240.61672040516899"/>
    <n v="33"/>
    <n v="29"/>
    <n v="0"/>
    <n v="0"/>
    <n v="0"/>
    <n v="0"/>
    <n v="0"/>
    <n v="0"/>
    <n v="0"/>
    <n v="0"/>
    <n v="18"/>
    <n v="0"/>
    <n v="0"/>
    <n v="82"/>
    <n v="2"/>
    <n v="0.81"/>
    <n v="0.02"/>
    <n v="0.58333333333333304"/>
    <n v="4.2500000000000003E-3"/>
    <n v="4.7600000000000003E-3"/>
    <n v="4.5050000000000003E-3"/>
    <x v="0"/>
    <s v="Dry"/>
    <s v="Dry"/>
    <x v="0"/>
    <m/>
    <m/>
    <m/>
    <m/>
    <m/>
    <m/>
    <m/>
    <m/>
    <m/>
    <m/>
    <m/>
    <m/>
    <m/>
    <m/>
    <m/>
    <m/>
    <m/>
    <m/>
    <m/>
  </r>
  <r>
    <s v="L01-749-2"/>
    <m/>
    <n v="54"/>
    <m/>
    <m/>
    <n v="749"/>
    <s v="L01"/>
    <n v="1"/>
    <n v="0"/>
    <s v="SAN JUAN CAPISTRANO"/>
    <s v="SOUTH"/>
    <s v="San Juan Creek"/>
    <n v="14419.4271838557"/>
    <n v="4602773.8761347197"/>
    <n v="105.665477920504"/>
    <n v="78"/>
    <n v="78"/>
    <n v="0"/>
    <n v="0"/>
    <n v="0"/>
    <n v="0"/>
    <n v="0"/>
    <n v="0"/>
    <n v="0"/>
    <n v="0"/>
    <n v="0"/>
    <n v="0"/>
    <n v="0"/>
    <n v="100"/>
    <n v="1"/>
    <n v="1.1499999999999999"/>
    <n v="0.06"/>
    <n v="0.28571428571428598"/>
    <n v="1.6757142857143002E-2"/>
    <n v="1.6757142857143002E-2"/>
    <n v="1.6757142857143002E-2"/>
    <x v="0"/>
    <m/>
    <m/>
    <x v="0"/>
    <m/>
    <m/>
    <m/>
    <m/>
    <m/>
    <m/>
    <m/>
    <m/>
    <m/>
    <m/>
    <m/>
    <m/>
    <m/>
    <m/>
    <m/>
    <m/>
    <m/>
    <m/>
    <m/>
  </r>
  <r>
    <s v="L01-760-1"/>
    <m/>
    <n v="48"/>
    <m/>
    <m/>
    <n v="760"/>
    <s v="L01"/>
    <n v="1"/>
    <n v="0"/>
    <s v="ORANGE CO"/>
    <s v="SOUTH"/>
    <s v="San Juan Creek"/>
    <n v="5504.0116881180702"/>
    <n v="1459710.65535524"/>
    <n v="33.510450040463901"/>
    <n v="95"/>
    <n v="95"/>
    <n v="0"/>
    <n v="0"/>
    <n v="0"/>
    <n v="0"/>
    <n v="0"/>
    <n v="0"/>
    <n v="0"/>
    <n v="0"/>
    <n v="100"/>
    <n v="0"/>
    <n v="0"/>
    <n v="0"/>
    <n v="2"/>
    <n v="0.57499999999999996"/>
    <n v="1.4999999999999999E-2"/>
    <n v="1.6"/>
    <n v="7.6499999999999997E-3"/>
    <n v="1.4279999999999999E-2"/>
    <n v="1.0965000000000001E-2"/>
    <x v="1"/>
    <s v="Flowing"/>
    <s v="Flowing"/>
    <x v="3"/>
    <m/>
    <m/>
    <m/>
    <m/>
    <m/>
    <m/>
    <m/>
    <m/>
    <m/>
    <m/>
    <m/>
    <m/>
    <m/>
    <m/>
    <m/>
    <m/>
    <m/>
    <m/>
    <m/>
  </r>
  <r>
    <s v="L01-760-2"/>
    <m/>
    <n v="60"/>
    <m/>
    <m/>
    <n v="760"/>
    <s v="L01"/>
    <n v="1"/>
    <n v="0"/>
    <s v="ORANGE CO"/>
    <s v="SOUTH"/>
    <s v="San Juan Creek"/>
    <n v="5037.2014178292702"/>
    <n v="1418932.6942634899"/>
    <n v="32.574313948763702"/>
    <n v="99"/>
    <n v="99"/>
    <n v="0"/>
    <n v="0"/>
    <n v="0"/>
    <n v="0"/>
    <n v="0"/>
    <n v="0"/>
    <n v="0"/>
    <n v="0"/>
    <n v="100"/>
    <n v="0"/>
    <n v="0"/>
    <n v="0"/>
    <n v="2"/>
    <n v="1.1599999999999999"/>
    <n v="4.2500000000000003E-2"/>
    <n v="0.85"/>
    <n v="1.6830000000000001E-2"/>
    <n v="3.6295000000000001E-2"/>
    <n v="2.6562499999999999E-2"/>
    <x v="1"/>
    <s v="Flowing"/>
    <s v="Flowing"/>
    <x v="3"/>
    <m/>
    <m/>
    <m/>
    <m/>
    <m/>
    <m/>
    <m/>
    <m/>
    <m/>
    <m/>
    <m/>
    <m/>
    <m/>
    <m/>
    <m/>
    <m/>
    <m/>
    <m/>
    <m/>
  </r>
  <r>
    <s v="L01-766-2"/>
    <s v="L01S06"/>
    <m/>
    <n v="10"/>
    <n v="5"/>
    <n v="766"/>
    <s v="L01"/>
    <n v="1"/>
    <n v="1"/>
    <s v="SAN JUAN CAPISTRANO"/>
    <s v="SOUTH"/>
    <s v="San Juan Creek"/>
    <n v="19042.267403750298"/>
    <n v="8483748.4057638701"/>
    <n v="194.76067127702501"/>
    <n v="76"/>
    <n v="66"/>
    <n v="0"/>
    <n v="0"/>
    <n v="0"/>
    <n v="0"/>
    <n v="0"/>
    <n v="0"/>
    <n v="0"/>
    <n v="0"/>
    <n v="0"/>
    <n v="0"/>
    <n v="0"/>
    <n v="100"/>
    <n v="1"/>
    <n v="3.5"/>
    <n v="0.05"/>
    <n v="1"/>
    <n v="0.14874999999999999"/>
    <n v="0.14874999999999999"/>
    <n v="0.14874999999999999"/>
    <x v="0"/>
    <m/>
    <m/>
    <x v="0"/>
    <m/>
    <m/>
    <m/>
    <m/>
    <m/>
    <m/>
    <m/>
    <m/>
    <m/>
    <m/>
    <m/>
    <m/>
    <m/>
    <m/>
    <m/>
    <m/>
    <m/>
    <m/>
    <m/>
  </r>
  <r>
    <s v="L01-766-4"/>
    <m/>
    <n v="48"/>
    <m/>
    <m/>
    <n v="766"/>
    <s v="L01"/>
    <n v="1"/>
    <n v="0"/>
    <s v="SAN JUAN CAPISTRANO"/>
    <s v="SOUTH"/>
    <s v="San Juan Creek"/>
    <n v="4036.3410189086999"/>
    <n v="919987.69033703499"/>
    <n v="21.120077065805901"/>
    <n v="100"/>
    <n v="99"/>
    <n v="0"/>
    <n v="0"/>
    <n v="0"/>
    <n v="0"/>
    <n v="0"/>
    <n v="0"/>
    <n v="0"/>
    <n v="0"/>
    <n v="0"/>
    <n v="0"/>
    <n v="0"/>
    <n v="100"/>
    <n v="1"/>
    <n v="0.5"/>
    <n v="0.01"/>
    <n v="3"/>
    <n v="1.2749999999999999E-2"/>
    <n v="1.2749999999999999E-2"/>
    <n v="1.2749999999999999E-2"/>
    <x v="0"/>
    <m/>
    <m/>
    <x v="0"/>
    <m/>
    <m/>
    <m/>
    <m/>
    <m/>
    <m/>
    <m/>
    <m/>
    <m/>
    <m/>
    <m/>
    <m/>
    <m/>
    <m/>
    <m/>
    <m/>
    <m/>
    <m/>
    <m/>
  </r>
  <r>
    <s v="L01-766-7"/>
    <m/>
    <n v="42"/>
    <m/>
    <m/>
    <n v="766"/>
    <s v="L01"/>
    <n v="1"/>
    <n v="0"/>
    <s v="SAN JUAN CAPISTRANO"/>
    <s v="SOUTH"/>
    <s v="San Juan Creek"/>
    <n v="8982.1031755251497"/>
    <n v="2471286.75228329"/>
    <n v="56.733114158089897"/>
    <n v="100"/>
    <n v="10"/>
    <n v="0"/>
    <n v="0"/>
    <n v="0"/>
    <n v="0"/>
    <n v="0"/>
    <n v="0"/>
    <n v="0"/>
    <n v="0"/>
    <n v="0"/>
    <n v="0"/>
    <n v="0"/>
    <n v="100"/>
    <n v="1"/>
    <n v="0.4"/>
    <n v="0.01"/>
    <n v="0.33333333333333298"/>
    <n v="1.1333333333329999E-3"/>
    <n v="1.1333333333329999E-3"/>
    <n v="1.1333333333329999E-3"/>
    <x v="0"/>
    <m/>
    <m/>
    <x v="0"/>
    <m/>
    <m/>
    <m/>
    <m/>
    <m/>
    <m/>
    <m/>
    <m/>
    <m/>
    <m/>
    <m/>
    <m/>
    <m/>
    <m/>
    <m/>
    <m/>
    <m/>
    <m/>
    <m/>
  </r>
  <r>
    <s v="L02-541-9"/>
    <s v="L02P02"/>
    <m/>
    <n v="72"/>
    <n v="90"/>
    <n v="541"/>
    <s v="L02"/>
    <n v="1"/>
    <n v="1"/>
    <s v="SAN JUAN CAPISTRANO"/>
    <s v="SOUTH"/>
    <s v="San Juan Creek"/>
    <n v="17956.3743922006"/>
    <n v="9864939.0597681105"/>
    <n v="226.46854450351799"/>
    <n v="93"/>
    <n v="71"/>
    <n v="0"/>
    <n v="0"/>
    <n v="0"/>
    <n v="0"/>
    <n v="0"/>
    <n v="0"/>
    <n v="0"/>
    <n v="0"/>
    <n v="2"/>
    <n v="0"/>
    <n v="0"/>
    <n v="98"/>
    <n v="2"/>
    <n v="0.95"/>
    <n v="0.04"/>
    <n v="0.3125"/>
    <n v="5.7375000000000004E-3"/>
    <n v="1.59375E-2"/>
    <n v="1.08375E-2"/>
    <x v="0"/>
    <m/>
    <m/>
    <x v="0"/>
    <m/>
    <m/>
    <m/>
    <m/>
    <m/>
    <m/>
    <m/>
    <m/>
    <m/>
    <m/>
    <m/>
    <m/>
    <m/>
    <m/>
    <m/>
    <m/>
    <m/>
    <m/>
    <m/>
  </r>
  <r>
    <s v="L02-622-2"/>
    <s v="L02P32"/>
    <n v="72"/>
    <m/>
    <m/>
    <n v="622"/>
    <s v="L02"/>
    <n v="1"/>
    <n v="0"/>
    <s v="RANCHO SANTA MARGARITA"/>
    <s v="SOUTH"/>
    <s v="San Juan Creek"/>
    <n v="31105.578323764501"/>
    <n v="24896287.277437501"/>
    <n v="571.54189286956296"/>
    <n v="97"/>
    <n v="79"/>
    <n v="0"/>
    <n v="0"/>
    <n v="0"/>
    <n v="0"/>
    <n v="0"/>
    <n v="0"/>
    <n v="0"/>
    <n v="0"/>
    <n v="8"/>
    <n v="92"/>
    <n v="0"/>
    <n v="0"/>
    <n v="1"/>
    <n v="0.7"/>
    <n v="0.03"/>
    <n v="2"/>
    <n v="3.5700000000000003E-2"/>
    <n v="3.5700000000000003E-2"/>
    <n v="3.5700000000000003E-2"/>
    <x v="3"/>
    <s v="Dry"/>
    <s v="Flowing"/>
    <x v="2"/>
    <m/>
    <m/>
    <m/>
    <m/>
    <m/>
    <m/>
    <m/>
    <m/>
    <m/>
    <m/>
    <m/>
    <m/>
    <m/>
    <m/>
    <m/>
    <m/>
    <m/>
    <m/>
    <m/>
  </r>
  <r>
    <s v="L03-074-1"/>
    <s v="L03B01"/>
    <n v="60"/>
    <m/>
    <m/>
    <n v="74"/>
    <s v="L03"/>
    <n v="1"/>
    <n v="0"/>
    <s v="MISSION VIEJO"/>
    <s v="SOUTH"/>
    <s v="San Juan Creek"/>
    <n v="17753.712598411701"/>
    <n v="7477748.5663118698"/>
    <n v="171.66602081530999"/>
    <n v="98"/>
    <n v="95"/>
    <n v="0"/>
    <n v="0"/>
    <n v="0"/>
    <n v="0"/>
    <n v="0"/>
    <n v="0"/>
    <n v="0"/>
    <n v="100"/>
    <n v="0"/>
    <n v="0"/>
    <n v="0"/>
    <n v="0"/>
    <n v="1"/>
    <n v="0.7"/>
    <n v="0.05"/>
    <n v="1.5"/>
    <n v="4.4624999999999998E-2"/>
    <n v="4.4624999999999998E-2"/>
    <n v="4.4624999999999998E-2"/>
    <x v="0"/>
    <m/>
    <m/>
    <x v="0"/>
    <m/>
    <m/>
    <m/>
    <m/>
    <m/>
    <m/>
    <m/>
    <m/>
    <m/>
    <m/>
    <m/>
    <m/>
    <m/>
    <m/>
    <m/>
    <m/>
    <m/>
    <m/>
    <m/>
  </r>
  <r>
    <s v="L03-142-1"/>
    <s v="L03P24"/>
    <n v="66"/>
    <m/>
    <m/>
    <n v="142"/>
    <s v="L03"/>
    <n v="1"/>
    <n v="0"/>
    <s v="RANCHO SANTA MARGARITA"/>
    <s v="SOUTH"/>
    <s v="San Juan Creek"/>
    <n v="15886.523266402601"/>
    <n v="11135154.397989601"/>
    <n v="255.628767096909"/>
    <n v="19"/>
    <n v="14"/>
    <n v="0"/>
    <n v="0"/>
    <n v="0"/>
    <n v="0"/>
    <n v="0"/>
    <n v="0"/>
    <n v="0"/>
    <n v="0"/>
    <n v="100"/>
    <n v="0"/>
    <n v="0"/>
    <n v="0"/>
    <n v="1"/>
    <n v="0.4"/>
    <n v="5.0000000000000001E-3"/>
    <n v="0.6"/>
    <n v="1.0200000000000001E-3"/>
    <n v="1.0200000000000001E-3"/>
    <n v="1.0200000000000001E-3"/>
    <x v="0"/>
    <m/>
    <m/>
    <x v="0"/>
    <m/>
    <m/>
    <m/>
    <m/>
    <m/>
    <m/>
    <m/>
    <m/>
    <m/>
    <m/>
    <m/>
    <m/>
    <m/>
    <m/>
    <m/>
    <m/>
    <m/>
    <m/>
    <m/>
  </r>
  <r>
    <s v="L03-172-2"/>
    <m/>
    <n v="36"/>
    <m/>
    <m/>
    <n v="172"/>
    <s v="L03"/>
    <n v="1"/>
    <n v="0"/>
    <s v="MISSION VIEJO"/>
    <s v="SOUTH"/>
    <s v="San Juan Creek"/>
    <n v="7479.0008529110301"/>
    <n v="2114445.7166269901"/>
    <n v="48.541145664965903"/>
    <n v="95"/>
    <n v="90"/>
    <n v="0"/>
    <n v="0"/>
    <n v="0"/>
    <n v="0"/>
    <n v="0"/>
    <n v="0"/>
    <n v="0"/>
    <n v="100"/>
    <n v="0"/>
    <n v="0"/>
    <n v="0"/>
    <n v="0"/>
    <n v="1"/>
    <n v="0.5"/>
    <n v="0.03"/>
    <n v="1"/>
    <n v="1.2749999999999999E-2"/>
    <n v="1.2749999999999999E-2"/>
    <n v="1.2749999999999999E-2"/>
    <x v="0"/>
    <m/>
    <m/>
    <x v="0"/>
    <m/>
    <m/>
    <m/>
    <m/>
    <m/>
    <m/>
    <m/>
    <m/>
    <m/>
    <m/>
    <m/>
    <m/>
    <m/>
    <m/>
    <m/>
    <m/>
    <m/>
    <m/>
    <m/>
  </r>
  <r>
    <s v="L03-316-1"/>
    <m/>
    <n v="42"/>
    <m/>
    <m/>
    <n v="316"/>
    <s v="L03"/>
    <n v="1"/>
    <n v="0"/>
    <s v="MISSION VIEJO"/>
    <s v="SOUTH"/>
    <s v="San Juan Creek"/>
    <m/>
    <m/>
    <m/>
    <m/>
    <m/>
    <m/>
    <m/>
    <m/>
    <m/>
    <m/>
    <m/>
    <m/>
    <m/>
    <m/>
    <m/>
    <m/>
    <m/>
    <n v="1"/>
    <n v="1"/>
    <n v="0.04"/>
    <n v="2"/>
    <n v="6.8000000000000005E-2"/>
    <n v="6.8000000000000005E-2"/>
    <n v="6.8000000000000005E-2"/>
    <x v="1"/>
    <s v="Flowing"/>
    <s v="Flowing"/>
    <x v="3"/>
    <m/>
    <m/>
    <m/>
    <m/>
    <m/>
    <m/>
    <m/>
    <m/>
    <m/>
    <m/>
    <m/>
    <m/>
    <m/>
    <m/>
    <m/>
    <m/>
    <m/>
    <m/>
    <m/>
  </r>
  <r>
    <s v="L03-316-2"/>
    <m/>
    <n v="36"/>
    <m/>
    <m/>
    <n v="316"/>
    <s v="L03"/>
    <n v="1"/>
    <n v="0"/>
    <s v="MISSION VIEJO"/>
    <s v="SOUTH"/>
    <s v="San Juan Creek"/>
    <n v="17129.991736281099"/>
    <n v="7217563.0928094201"/>
    <n v="165.69296562175401"/>
    <n v="88"/>
    <n v="57"/>
    <n v="0"/>
    <n v="0"/>
    <n v="0"/>
    <n v="0"/>
    <n v="0"/>
    <n v="0"/>
    <n v="0"/>
    <n v="100"/>
    <n v="0"/>
    <n v="0"/>
    <n v="0"/>
    <n v="0"/>
    <n v="1"/>
    <n v="0.3"/>
    <n v="1E-3"/>
    <n v="1.3333333333333299"/>
    <n v="3.4000000000000002E-4"/>
    <n v="3.4000000000000002E-4"/>
    <n v="3.4000000000000002E-4"/>
    <x v="1"/>
    <s v="Flowing"/>
    <s v="Flowing"/>
    <x v="3"/>
    <m/>
    <m/>
    <m/>
    <m/>
    <m/>
    <m/>
    <m/>
    <m/>
    <m/>
    <m/>
    <m/>
    <m/>
    <m/>
    <m/>
    <m/>
    <m/>
    <m/>
    <m/>
    <m/>
  </r>
  <r>
    <s v="L03-316-4"/>
    <s v="L03P12"/>
    <n v="36"/>
    <m/>
    <m/>
    <n v="316"/>
    <s v="L03"/>
    <n v="1"/>
    <n v="0"/>
    <s v="MISSION VIEJO"/>
    <s v="SOUTH"/>
    <s v="San Juan Creek"/>
    <n v="8325.2041420229598"/>
    <n v="1921356.2164706399"/>
    <n v="44.1084068721173"/>
    <n v="100"/>
    <n v="66"/>
    <n v="0"/>
    <n v="0"/>
    <n v="0"/>
    <n v="0"/>
    <n v="0"/>
    <n v="0"/>
    <n v="0"/>
    <n v="100"/>
    <n v="0"/>
    <n v="0"/>
    <n v="0"/>
    <n v="0"/>
    <n v="2"/>
    <n v="0.35"/>
    <n v="7.4999999999999997E-3"/>
    <n v="1.0416666666666601"/>
    <n v="1.0624999999999999E-4"/>
    <n v="6.7999999999999996E-3"/>
    <n v="3.453125E-3"/>
    <x v="1"/>
    <s v="Flowing"/>
    <s v="Flowing"/>
    <x v="3"/>
    <m/>
    <m/>
    <m/>
    <m/>
    <m/>
    <m/>
    <m/>
    <m/>
    <m/>
    <m/>
    <m/>
    <m/>
    <m/>
    <m/>
    <m/>
    <m/>
    <m/>
    <m/>
    <m/>
  </r>
  <r>
    <s v="L03-418-1"/>
    <m/>
    <n v="36"/>
    <n v="3"/>
    <n v="8"/>
    <n v="418"/>
    <s v="L03"/>
    <n v="1"/>
    <n v="0"/>
    <s v="LAGUNA NIGUEL"/>
    <s v="SOUTH"/>
    <s v="San Juan Creek"/>
    <n v="11504.462517390601"/>
    <n v="5388978.4921620702"/>
    <n v="123.714308632475"/>
    <n v="89"/>
    <n v="13"/>
    <n v="0"/>
    <n v="0"/>
    <n v="0"/>
    <n v="0"/>
    <n v="5"/>
    <n v="0"/>
    <n v="0"/>
    <n v="95"/>
    <n v="0"/>
    <n v="0"/>
    <n v="0"/>
    <n v="0"/>
    <n v="2"/>
    <n v="2.25"/>
    <n v="6.0000000000000001E-3"/>
    <n v="1.45714285714285"/>
    <n v="4.4879999999999998E-3"/>
    <n v="3.3514285714286003E-2"/>
    <n v="1.9001142857143001E-2"/>
    <x v="1"/>
    <s v="Flowing"/>
    <s v="Flowing"/>
    <x v="3"/>
    <m/>
    <m/>
    <m/>
    <m/>
    <m/>
    <m/>
    <m/>
    <m/>
    <m/>
    <m/>
    <m/>
    <m/>
    <m/>
    <m/>
    <m/>
    <m/>
    <m/>
    <m/>
    <m/>
  </r>
  <r>
    <s v="L03-455-1"/>
    <m/>
    <n v="66"/>
    <m/>
    <m/>
    <n v="455"/>
    <s v="L03"/>
    <n v="1"/>
    <n v="0"/>
    <s v="SAN JUAN CAPISTRANO"/>
    <s v="SOUTH"/>
    <s v="San Juan Creek"/>
    <n v="9216.2628644392807"/>
    <n v="3591425.09372397"/>
    <n v="82.448032242400899"/>
    <n v="45"/>
    <n v="0"/>
    <n v="0"/>
    <n v="0"/>
    <n v="0"/>
    <n v="0"/>
    <n v="2"/>
    <n v="0"/>
    <n v="0"/>
    <n v="0"/>
    <n v="0"/>
    <n v="0"/>
    <n v="0"/>
    <n v="98"/>
    <n v="1"/>
    <n v="0.35"/>
    <n v="0.01"/>
    <n v="0.4"/>
    <n v="1.1900000000000001E-3"/>
    <n v="1.1900000000000001E-3"/>
    <n v="1.1900000000000001E-3"/>
    <x v="0"/>
    <m/>
    <m/>
    <x v="0"/>
    <m/>
    <m/>
    <m/>
    <m/>
    <m/>
    <m/>
    <m/>
    <m/>
    <m/>
    <m/>
    <m/>
    <m/>
    <m/>
    <m/>
    <m/>
    <m/>
    <m/>
    <m/>
    <m/>
  </r>
  <r>
    <s v="L03-455-2"/>
    <m/>
    <m/>
    <n v="78"/>
    <n v="36"/>
    <n v="455"/>
    <s v="L03"/>
    <n v="1"/>
    <n v="1"/>
    <s v="SAN JUAN CAPISTRANO"/>
    <s v="SOUTH"/>
    <s v="San Juan Creek"/>
    <m/>
    <m/>
    <m/>
    <m/>
    <m/>
    <m/>
    <m/>
    <m/>
    <m/>
    <m/>
    <m/>
    <m/>
    <m/>
    <m/>
    <m/>
    <m/>
    <m/>
    <n v="1"/>
    <n v="0.38"/>
    <n v="0.01"/>
    <n v="0.75"/>
    <n v="2.4225000000000002E-3"/>
    <n v="2.4225000000000002E-3"/>
    <n v="2.4225000000000002E-3"/>
    <x v="0"/>
    <m/>
    <m/>
    <x v="0"/>
    <m/>
    <m/>
    <m/>
    <m/>
    <m/>
    <m/>
    <m/>
    <m/>
    <m/>
    <m/>
    <m/>
    <m/>
    <m/>
    <m/>
    <m/>
    <m/>
    <m/>
    <m/>
    <m/>
  </r>
  <r>
    <s v="L03-455-5"/>
    <m/>
    <n v="36"/>
    <m/>
    <m/>
    <n v="455"/>
    <s v="L03"/>
    <n v="1"/>
    <n v="0"/>
    <s v="LAGUNA NIGUEL"/>
    <s v="SOUTH"/>
    <s v="San Juan Creek"/>
    <n v="6788.5173593405798"/>
    <n v="1034751.98653713"/>
    <n v="23.754710991463401"/>
    <n v="57"/>
    <n v="2"/>
    <n v="0"/>
    <n v="0"/>
    <n v="0"/>
    <n v="0"/>
    <n v="88"/>
    <n v="0"/>
    <n v="0"/>
    <n v="0"/>
    <n v="0"/>
    <n v="0"/>
    <n v="0"/>
    <n v="12"/>
    <n v="3"/>
    <n v="0.37666666666666698"/>
    <n v="2.3333333333333001E-2"/>
    <n v="1.4"/>
    <n v="2.5500000000000002E-3"/>
    <n v="2.1624000000000001E-2"/>
    <n v="1.1457999999999999E-2"/>
    <x v="1"/>
    <s v="Flowing"/>
    <s v="Flowing"/>
    <x v="3"/>
    <m/>
    <m/>
    <m/>
    <m/>
    <m/>
    <m/>
    <m/>
    <m/>
    <m/>
    <m/>
    <m/>
    <m/>
    <m/>
    <m/>
    <m/>
    <m/>
    <m/>
    <m/>
    <m/>
  </r>
  <r>
    <s v="L03-455-7"/>
    <m/>
    <n v="36"/>
    <m/>
    <m/>
    <n v="455"/>
    <s v="L03"/>
    <n v="1"/>
    <n v="0"/>
    <s v="LAGUNA NIGUEL"/>
    <s v="SOUTH"/>
    <s v="San Juan Creek"/>
    <n v="8228.7562578796096"/>
    <n v="2797168.4633029299"/>
    <n v="64.214352139165698"/>
    <n v="50"/>
    <n v="40"/>
    <n v="0"/>
    <n v="0"/>
    <n v="0"/>
    <n v="0"/>
    <n v="86"/>
    <n v="0"/>
    <n v="0"/>
    <n v="0"/>
    <n v="0"/>
    <n v="0"/>
    <n v="0"/>
    <n v="14"/>
    <n v="3"/>
    <n v="0.51666666666666705"/>
    <n v="1.3333333333332999E-2"/>
    <n v="3.6666666666666599"/>
    <n v="1.4024999999999999E-2"/>
    <n v="2.7199999999999998E-2"/>
    <n v="2.0541666666666999E-2"/>
    <x v="1"/>
    <s v="Flowing"/>
    <s v="Flowing"/>
    <x v="3"/>
    <m/>
    <m/>
    <m/>
    <m/>
    <m/>
    <m/>
    <m/>
    <m/>
    <m/>
    <m/>
    <m/>
    <m/>
    <m/>
    <m/>
    <m/>
    <m/>
    <m/>
    <m/>
    <m/>
  </r>
  <r>
    <s v="L03-693-1"/>
    <s v="L03P11"/>
    <n v="60"/>
    <m/>
    <m/>
    <n v="693"/>
    <s v="L03"/>
    <n v="1"/>
    <n v="0"/>
    <s v="MISSION VIEJO"/>
    <s v="SOUTH"/>
    <s v="San Juan Creek"/>
    <n v="22521.0708378569"/>
    <n v="12188577.304100201"/>
    <n v="279.812104758516"/>
    <n v="99"/>
    <n v="89"/>
    <n v="0"/>
    <n v="0"/>
    <n v="0"/>
    <n v="0"/>
    <n v="0"/>
    <n v="0"/>
    <n v="0"/>
    <n v="100"/>
    <n v="0"/>
    <n v="0"/>
    <n v="0"/>
    <n v="0"/>
    <n v="1"/>
    <n v="0.65"/>
    <n v="0.03"/>
    <n v="4.6153846153846096"/>
    <n v="7.6499999999999999E-2"/>
    <n v="7.6499999999999999E-2"/>
    <n v="7.6499999999999999E-2"/>
    <x v="1"/>
    <s v="Flowing"/>
    <s v="Flowing"/>
    <x v="3"/>
    <m/>
    <m/>
    <m/>
    <m/>
    <m/>
    <m/>
    <m/>
    <m/>
    <m/>
    <m/>
    <m/>
    <m/>
    <m/>
    <m/>
    <m/>
    <m/>
    <m/>
    <m/>
    <m/>
  </r>
  <r>
    <s v="L03-708-1"/>
    <m/>
    <n v="36"/>
    <m/>
    <m/>
    <n v="708"/>
    <s v="L03"/>
    <n v="1"/>
    <n v="0"/>
    <s v="LAGUNA NIGUEL"/>
    <s v="SOUTH"/>
    <s v="San Juan Creek"/>
    <n v="15022.148308321501"/>
    <n v="4747546.2285604104"/>
    <n v="108.98900417237"/>
    <n v="47"/>
    <n v="17"/>
    <n v="0"/>
    <n v="0"/>
    <n v="0"/>
    <n v="0"/>
    <n v="100"/>
    <n v="0"/>
    <n v="0"/>
    <n v="0"/>
    <n v="0"/>
    <n v="0"/>
    <n v="0"/>
    <n v="0"/>
    <n v="2"/>
    <n v="1.2250000000000001"/>
    <n v="6.5000000000000002E-2"/>
    <n v="0.35416666666666702"/>
    <n v="1.0625000000000001E-2"/>
    <n v="4.335E-2"/>
    <n v="2.6987500000000001E-2"/>
    <x v="0"/>
    <m/>
    <m/>
    <x v="0"/>
    <m/>
    <m/>
    <m/>
    <m/>
    <m/>
    <m/>
    <m/>
    <m/>
    <m/>
    <m/>
    <m/>
    <m/>
    <m/>
    <m/>
    <m/>
    <m/>
    <m/>
    <m/>
    <m/>
  </r>
  <r>
    <s v="L03-708-9"/>
    <m/>
    <n v="48"/>
    <m/>
    <m/>
    <n v="708"/>
    <s v="L03"/>
    <n v="1"/>
    <n v="0"/>
    <s v="LAGUNA NIGUEL"/>
    <s v="SOUTH"/>
    <s v="San Juan Creek"/>
    <m/>
    <m/>
    <m/>
    <m/>
    <m/>
    <m/>
    <m/>
    <m/>
    <m/>
    <m/>
    <m/>
    <m/>
    <m/>
    <m/>
    <m/>
    <m/>
    <m/>
    <n v="1"/>
    <n v="1.1499999999999999"/>
    <n v="0.04"/>
    <n v="1.2"/>
    <n v="4.6920000000000003E-2"/>
    <n v="4.6920000000000003E-2"/>
    <n v="4.6920000000000003E-2"/>
    <x v="0"/>
    <m/>
    <m/>
    <x v="0"/>
    <m/>
    <m/>
    <m/>
    <m/>
    <m/>
    <m/>
    <m/>
    <m/>
    <m/>
    <m/>
    <m/>
    <m/>
    <m/>
    <m/>
    <m/>
    <m/>
    <m/>
    <m/>
    <m/>
  </r>
  <r>
    <s v="L04-301-1"/>
    <s v="L04P08"/>
    <n v="48"/>
    <m/>
    <m/>
    <n v="301"/>
    <s v="L04"/>
    <n v="1"/>
    <n v="0"/>
    <s v="MISSION VIEJO"/>
    <s v="SOUTH"/>
    <s v="San Juan Creek"/>
    <n v="16978.040568464799"/>
    <n v="8356353.56932614"/>
    <n v="191.83607914214099"/>
    <n v="97"/>
    <n v="70"/>
    <n v="0"/>
    <n v="0"/>
    <n v="0"/>
    <n v="0"/>
    <n v="0"/>
    <n v="0"/>
    <n v="0"/>
    <n v="100"/>
    <n v="0"/>
    <n v="0"/>
    <n v="0"/>
    <n v="0"/>
    <n v="2"/>
    <n v="0.55000000000000004"/>
    <n v="0.01"/>
    <n v="0.78901734104046195"/>
    <n v="2.5500000000000002E-3"/>
    <n v="3.93063583815E-3"/>
    <n v="3.2403179190750001E-3"/>
    <x v="0"/>
    <m/>
    <m/>
    <x v="0"/>
    <m/>
    <m/>
    <m/>
    <m/>
    <m/>
    <m/>
    <m/>
    <m/>
    <m/>
    <m/>
    <m/>
    <m/>
    <m/>
    <m/>
    <m/>
    <m/>
    <m/>
    <m/>
    <m/>
  </r>
  <r>
    <s v="L05-049-1"/>
    <m/>
    <n v="108"/>
    <m/>
    <m/>
    <n v="49"/>
    <s v="L05"/>
    <n v="1"/>
    <n v="0"/>
    <s v="ORANGE CO"/>
    <s v="SOUTH"/>
    <s v="San Juan Creek"/>
    <n v="31850.440001343199"/>
    <n v="22541068.0909831"/>
    <n v="517.47333168418402"/>
    <n v="65"/>
    <n v="59"/>
    <n v="0"/>
    <n v="0"/>
    <n v="0"/>
    <n v="0"/>
    <n v="0"/>
    <n v="0"/>
    <n v="0"/>
    <n v="0"/>
    <n v="100"/>
    <n v="0"/>
    <n v="0"/>
    <n v="0"/>
    <n v="2"/>
    <n v="1.1000000000000001"/>
    <n v="4.4999999999999998E-2"/>
    <n v="1.35"/>
    <n v="3.3660000000000002E-2"/>
    <n v="8.4150000000000003E-2"/>
    <n v="5.8904999999999999E-2"/>
    <x v="0"/>
    <m/>
    <m/>
    <x v="0"/>
    <m/>
    <m/>
    <m/>
    <m/>
    <m/>
    <m/>
    <m/>
    <m/>
    <m/>
    <m/>
    <m/>
    <m/>
    <m/>
    <m/>
    <m/>
    <m/>
    <m/>
    <m/>
    <m/>
  </r>
  <r>
    <s v="L05-489-3"/>
    <m/>
    <n v="24"/>
    <m/>
    <m/>
    <n v="489"/>
    <s v="L05"/>
    <n v="1"/>
    <n v="0"/>
    <s v="ORANGE CO"/>
    <s v="SOUTH"/>
    <s v="San Juan Creek"/>
    <n v="54145.237253510801"/>
    <n v="90092133.167472005"/>
    <n v="2068.2372335034102"/>
    <n v="48"/>
    <n v="42"/>
    <n v="0"/>
    <n v="0"/>
    <n v="0"/>
    <n v="0"/>
    <n v="0"/>
    <n v="0"/>
    <n v="0"/>
    <n v="0"/>
    <n v="100"/>
    <n v="0"/>
    <n v="0"/>
    <n v="0"/>
    <n v="1"/>
    <n v="1.8"/>
    <n v="0.14000000000000001"/>
    <n v="2"/>
    <n v="0.4284"/>
    <n v="0.4284"/>
    <n v="0.4284"/>
    <x v="0"/>
    <m/>
    <m/>
    <x v="0"/>
    <m/>
    <m/>
    <m/>
    <m/>
    <m/>
    <m/>
    <m/>
    <m/>
    <m/>
    <m/>
    <m/>
    <m/>
    <m/>
    <m/>
    <m/>
    <m/>
    <m/>
    <m/>
    <m/>
  </r>
  <r>
    <s v="L05-489-7"/>
    <m/>
    <n v="60"/>
    <m/>
    <m/>
    <n v="489"/>
    <s v="L05"/>
    <n v="1"/>
    <n v="0"/>
    <s v="ORANGE CO"/>
    <s v="SOUTH"/>
    <s v="San Juan Creek"/>
    <n v="11633.1071232716"/>
    <n v="5586674.0195679897"/>
    <n v="128.25278759065401"/>
    <n v="13"/>
    <n v="0"/>
    <n v="0"/>
    <n v="0"/>
    <n v="0"/>
    <n v="0"/>
    <n v="0"/>
    <n v="0"/>
    <n v="0"/>
    <n v="0"/>
    <n v="100"/>
    <n v="0"/>
    <n v="0"/>
    <n v="0"/>
    <n v="2"/>
    <n v="1.01"/>
    <n v="0.19500000000000001"/>
    <n v="0.94103773584905703"/>
    <n v="6.9997500000000004E-2"/>
    <n v="0.23094339622641499"/>
    <n v="0.15047044811320801"/>
    <x v="0"/>
    <m/>
    <m/>
    <x v="0"/>
    <m/>
    <m/>
    <m/>
    <m/>
    <m/>
    <m/>
    <m/>
    <m/>
    <m/>
    <m/>
    <m/>
    <m/>
    <m/>
    <m/>
    <m/>
    <m/>
    <m/>
    <m/>
    <m/>
  </r>
  <r>
    <s v="M02-032-1"/>
    <m/>
    <n v="120"/>
    <m/>
    <m/>
    <n v="32"/>
    <s v="M02"/>
    <n v="1"/>
    <n v="0"/>
    <s v="SAN CLEMENTE"/>
    <s v="SOUTH"/>
    <s v="San Clemente"/>
    <n v="14408.671484385301"/>
    <n v="5710857.0703987796"/>
    <n v="131.10364704384099"/>
    <n v="10"/>
    <n v="0"/>
    <n v="0"/>
    <n v="0"/>
    <n v="0"/>
    <n v="0"/>
    <n v="0"/>
    <n v="0"/>
    <n v="0"/>
    <n v="0"/>
    <n v="0"/>
    <n v="0"/>
    <n v="100"/>
    <n v="0"/>
    <n v="2"/>
    <n v="1.4"/>
    <n v="0.48"/>
    <n v="1.69767441860465"/>
    <n v="9.2511627906977006E-2"/>
    <n v="2.2949999999999999"/>
    <n v="1.1937558139534801"/>
    <x v="1"/>
    <s v="Dry"/>
    <s v="Flowing"/>
    <x v="2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9" firstHeaderRow="1" firstDataRow="2" firstDataCol="1"/>
  <pivotFields count="5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axis="axisCol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6"/>
  </rowFields>
  <rowItems count="5">
    <i>
      <x/>
    </i>
    <i>
      <x v="1"/>
    </i>
    <i>
      <x v="2"/>
    </i>
    <i>
      <x v="3"/>
    </i>
    <i t="grand">
      <x/>
    </i>
  </rowItems>
  <colFields count="1">
    <field x="39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insp_avg_dis" fld="35" subtotal="average" baseField="35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F21" firstHeaderRow="1" firstDataRow="2" firstDataCol="1"/>
  <pivotFields count="5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axis="axisCol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6"/>
  </rowFields>
  <rowItems count="5">
    <i>
      <x/>
    </i>
    <i>
      <x v="1"/>
    </i>
    <i>
      <x v="2"/>
    </i>
    <i>
      <x v="3"/>
    </i>
    <i t="grand">
      <x/>
    </i>
  </rowItems>
  <colFields count="1">
    <field x="3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nsp_avg_dis" fld="35" subtotal="count" baseField="3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7:C23" firstHeaderRow="0" firstDataRow="1" firstDataCol="1" rowPageCount="1" colPageCount="1"/>
  <pivotFields count="7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0"/>
        <item x="4"/>
        <item x="3"/>
        <item x="1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" showAll="0"/>
    <pivotField showAll="0"/>
    <pivotField showAll="0"/>
    <pivotField numFmtId="165" showAll="0"/>
    <pivotField numFmtId="166" showAll="0"/>
    <pivotField numFmtId="166" showAll="0"/>
    <pivotField numFmtId="166" showAll="0"/>
    <pivotField numFmtId="166" showAll="0"/>
    <pivotField numFmtId="166" showAll="0"/>
    <pivotField axis="axisPage" numFmtId="1" multipleItemSelectionAllowed="1" showAll="0">
      <items count="73">
        <item h="1" x="58"/>
        <item h="1" x="0"/>
        <item h="1" x="59"/>
        <item h="1" x="64"/>
        <item h="1" x="54"/>
        <item h="1" x="51"/>
        <item h="1" x="49"/>
        <item h="1" x="50"/>
        <item h="1" x="66"/>
        <item h="1" x="32"/>
        <item h="1" x="11"/>
        <item h="1" x="62"/>
        <item h="1" x="14"/>
        <item h="1" x="63"/>
        <item h="1" x="60"/>
        <item h="1" x="55"/>
        <item h="1" x="47"/>
        <item h="1" x="22"/>
        <item x="65"/>
        <item x="53"/>
        <item x="61"/>
        <item x="13"/>
        <item x="70"/>
        <item h="1" x="68"/>
        <item h="1" x="57"/>
        <item h="1" x="10"/>
        <item h="1" x="69"/>
        <item h="1" x="67"/>
        <item h="1" x="1"/>
        <item h="1" x="2"/>
        <item h="1" x="3"/>
        <item h="1" x="4"/>
        <item h="1" x="5"/>
        <item h="1" x="6"/>
        <item h="1" x="7"/>
        <item x="8"/>
        <item h="1" x="9"/>
        <item x="12"/>
        <item x="15"/>
        <item x="16"/>
        <item x="17"/>
        <item h="1" x="18"/>
        <item x="19"/>
        <item x="20"/>
        <item h="1" m="1" x="71"/>
        <item x="23"/>
        <item x="24"/>
        <item h="1" x="25"/>
        <item x="26"/>
        <item x="27"/>
        <item x="28"/>
        <item x="29"/>
        <item x="30"/>
        <item x="31"/>
        <item x="33"/>
        <item x="34"/>
        <item h="1" x="35"/>
        <item h="1" x="36"/>
        <item h="1" x="37"/>
        <item x="38"/>
        <item x="39"/>
        <item x="40"/>
        <item x="41"/>
        <item x="42"/>
        <item x="43"/>
        <item x="44"/>
        <item x="45"/>
        <item x="46"/>
        <item x="48"/>
        <item h="1" x="52"/>
        <item x="56"/>
        <item x="21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2" hier="-1"/>
  </pageFields>
  <dataFields count="2">
    <dataField name="Sum of Best Est Median Flow" fld="59" baseField="0" baseItem="0"/>
    <dataField name="Count of Best Est Median Flow2" fld="59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" firstHeaderRow="0" firstDataRow="1" firstDataCol="1" rowPageCount="1" colPageCount="1"/>
  <pivotFields count="7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0"/>
        <item x="4"/>
        <item x="3"/>
        <item x="1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" showAll="0"/>
    <pivotField showAll="0"/>
    <pivotField showAll="0"/>
    <pivotField numFmtId="165" showAll="0"/>
    <pivotField numFmtId="166" showAll="0"/>
    <pivotField numFmtId="166" showAll="0"/>
    <pivotField numFmtId="166" showAll="0"/>
    <pivotField numFmtId="166" showAll="0"/>
    <pivotField numFmtId="166" showAll="0"/>
    <pivotField axis="axisPage" numFmtId="1" multipleItemSelectionAllowed="1" showAll="0">
      <items count="73">
        <item h="1" x="58"/>
        <item h="1" x="0"/>
        <item h="1" x="59"/>
        <item h="1" x="64"/>
        <item h="1" x="54"/>
        <item h="1" x="51"/>
        <item h="1" x="49"/>
        <item h="1" x="50"/>
        <item h="1" x="66"/>
        <item h="1" x="32"/>
        <item x="11"/>
        <item x="62"/>
        <item x="14"/>
        <item x="63"/>
        <item x="60"/>
        <item x="55"/>
        <item x="47"/>
        <item x="22"/>
        <item x="65"/>
        <item x="53"/>
        <item x="61"/>
        <item x="13"/>
        <item x="70"/>
        <item x="68"/>
        <item h="1" x="57"/>
        <item x="10"/>
        <item x="69"/>
        <item h="1" x="67"/>
        <item x="1"/>
        <item h="1" x="2"/>
        <item x="3"/>
        <item h="1" x="4"/>
        <item x="5"/>
        <item h="1" x="6"/>
        <item h="1" x="7"/>
        <item x="8"/>
        <item x="9"/>
        <item x="12"/>
        <item x="15"/>
        <item x="16"/>
        <item x="17"/>
        <item h="1" x="18"/>
        <item x="19"/>
        <item x="20"/>
        <item h="1" m="1" x="71"/>
        <item x="23"/>
        <item x="24"/>
        <item x="25"/>
        <item x="26"/>
        <item x="27"/>
        <item x="28"/>
        <item x="29"/>
        <item x="30"/>
        <item x="31"/>
        <item x="33"/>
        <item x="34"/>
        <item h="1" x="35"/>
        <item h="1"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52"/>
        <item x="56"/>
        <item x="21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2" hier="-1"/>
  </pageFields>
  <dataFields count="2">
    <dataField name="Sum of Best Est Median Flow" fld="59" baseField="0" baseItem="0"/>
    <dataField name="Count of Best Est Median Flow2" fld="59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C19" firstHeaderRow="0" firstDataRow="1" firstDataCol="1" rowPageCount="1" colPageCount="1"/>
  <pivotFields count="7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" showAll="0"/>
    <pivotField showAll="0"/>
    <pivotField showAll="0"/>
    <pivotField numFmtId="165" showAll="0"/>
    <pivotField numFmtId="166" showAll="0"/>
    <pivotField numFmtId="166" showAll="0"/>
    <pivotField numFmtId="166" showAll="0"/>
    <pivotField numFmtId="166" showAll="0"/>
    <pivotField numFmtId="166" showAll="0"/>
    <pivotField axis="axisPage" numFmtId="1" multipleItemSelectionAllowed="1" showAll="0">
      <items count="73">
        <item x="58"/>
        <item x="18"/>
        <item x="35"/>
        <item x="2"/>
        <item x="36"/>
        <item x="4"/>
        <item x="0"/>
        <item x="67"/>
        <item x="59"/>
        <item x="7"/>
        <item x="64"/>
        <item x="6"/>
        <item x="57"/>
        <item x="54"/>
        <item x="51"/>
        <item x="49"/>
        <item x="50"/>
        <item x="66"/>
        <item x="32"/>
        <item x="11"/>
        <item x="1"/>
        <item x="62"/>
        <item x="68"/>
        <item x="14"/>
        <item x="5"/>
        <item x="52"/>
        <item x="63"/>
        <item x="25"/>
        <item x="60"/>
        <item x="10"/>
        <item x="55"/>
        <item x="9"/>
        <item x="37"/>
        <item x="3"/>
        <item x="47"/>
        <item x="22"/>
        <item x="69"/>
        <item x="48"/>
        <item x="65"/>
        <item x="30"/>
        <item x="53"/>
        <item m="1" x="71"/>
        <item x="12"/>
        <item x="20"/>
        <item x="56"/>
        <item x="61"/>
        <item x="24"/>
        <item x="26"/>
        <item x="21"/>
        <item x="8"/>
        <item x="15"/>
        <item x="34"/>
        <item x="23"/>
        <item x="46"/>
        <item x="70"/>
        <item x="40"/>
        <item x="13"/>
        <item x="29"/>
        <item x="27"/>
        <item x="17"/>
        <item x="19"/>
        <item x="16"/>
        <item x="38"/>
        <item x="31"/>
        <item x="33"/>
        <item x="28"/>
        <item x="44"/>
        <item x="41"/>
        <item x="43"/>
        <item x="42"/>
        <item x="45"/>
        <item x="39"/>
        <item t="default"/>
      </items>
    </pivotField>
  </pivotFields>
  <rowFields count="1">
    <field x="3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72" hier="-1"/>
  </pageFields>
  <dataFields count="2">
    <dataField name="Sum of Best Est Median Flow" fld="59" baseField="0" baseItem="0"/>
    <dataField name="Count of Best Est Median Flow2" fld="59" subtotal="count" baseField="39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" firstHeaderRow="0" firstDataRow="1" firstDataCol="1" rowPageCount="1" colPageCount="1"/>
  <pivotFields count="7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" showAll="0"/>
    <pivotField showAll="0"/>
    <pivotField showAll="0"/>
    <pivotField numFmtId="165" showAll="0"/>
    <pivotField numFmtId="166" showAll="0"/>
    <pivotField numFmtId="166" showAll="0"/>
    <pivotField numFmtId="166" showAll="0"/>
    <pivotField numFmtId="166" showAll="0"/>
    <pivotField numFmtId="166" showAll="0"/>
    <pivotField axis="axisPage" numFmtId="1" multipleItemSelectionAllowed="1" showAll="0">
      <items count="73">
        <item h="1" x="58"/>
        <item h="1" x="18"/>
        <item h="1" x="35"/>
        <item h="1" x="2"/>
        <item h="1" x="36"/>
        <item h="1" x="4"/>
        <item h="1" x="0"/>
        <item h="1" x="67"/>
        <item h="1" x="59"/>
        <item h="1" x="7"/>
        <item h="1" x="64"/>
        <item h="1" x="6"/>
        <item h="1" x="57"/>
        <item h="1" x="54"/>
        <item h="1" x="51"/>
        <item h="1" x="49"/>
        <item h="1" x="50"/>
        <item h="1" x="66"/>
        <item h="1" x="32"/>
        <item h="1" x="11"/>
        <item h="1" x="1"/>
        <item h="1" x="62"/>
        <item h="1" x="68"/>
        <item h="1" x="14"/>
        <item h="1" x="5"/>
        <item h="1" x="52"/>
        <item h="1" x="63"/>
        <item h="1" x="25"/>
        <item h="1" x="60"/>
        <item h="1" x="10"/>
        <item h="1" x="55"/>
        <item h="1" x="9"/>
        <item h="1" x="37"/>
        <item h="1" x="3"/>
        <item h="1" x="47"/>
        <item h="1" x="22"/>
        <item h="1" x="69"/>
        <item h="1" x="48"/>
        <item h="1" x="65"/>
        <item x="30"/>
        <item x="53"/>
        <item m="1" x="71"/>
        <item x="12"/>
        <item x="20"/>
        <item x="56"/>
        <item x="61"/>
        <item x="24"/>
        <item x="26"/>
        <item x="21"/>
        <item x="8"/>
        <item x="15"/>
        <item x="34"/>
        <item x="23"/>
        <item x="46"/>
        <item x="70"/>
        <item x="40"/>
        <item x="13"/>
        <item x="29"/>
        <item x="27"/>
        <item x="17"/>
        <item x="19"/>
        <item x="16"/>
        <item x="38"/>
        <item x="31"/>
        <item x="33"/>
        <item x="28"/>
        <item x="44"/>
        <item x="41"/>
        <item x="43"/>
        <item x="42"/>
        <item x="45"/>
        <item x="39"/>
        <item t="default"/>
      </items>
    </pivotField>
  </pivotFields>
  <rowFields count="1">
    <field x="3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72" hier="-1"/>
  </pageFields>
  <dataFields count="2">
    <dataField name="Sum of Best Est Median Flow" fld="59" baseField="0" baseItem="0"/>
    <dataField name="Count of Best Est Median Flow2" fld="59" subtotal="count" baseField="39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43"/>
  <sheetViews>
    <sheetView workbookViewId="0">
      <selection activeCell="C15" sqref="C15"/>
    </sheetView>
  </sheetViews>
  <sheetFormatPr defaultRowHeight="15" x14ac:dyDescent="0.25"/>
  <cols>
    <col min="1" max="1" width="19.42578125" customWidth="1"/>
    <col min="2" max="2" width="15.28515625" customWidth="1"/>
    <col min="3" max="3" width="16.140625" customWidth="1"/>
    <col min="4" max="4" width="11.42578125" customWidth="1"/>
    <col min="5" max="5" width="6.7109375" customWidth="1"/>
    <col min="6" max="6" width="10.7109375" customWidth="1"/>
  </cols>
  <sheetData>
    <row r="3" spans="1:6" x14ac:dyDescent="0.25">
      <c r="A3" s="1" t="s">
        <v>293</v>
      </c>
      <c r="B3" s="1" t="s">
        <v>291</v>
      </c>
    </row>
    <row r="4" spans="1:6" x14ac:dyDescent="0.25">
      <c r="A4" s="1" t="s">
        <v>288</v>
      </c>
      <c r="B4" t="s">
        <v>54</v>
      </c>
      <c r="C4" t="s">
        <v>69</v>
      </c>
      <c r="D4" t="s">
        <v>114</v>
      </c>
      <c r="E4" t="s">
        <v>289</v>
      </c>
      <c r="F4" t="s">
        <v>290</v>
      </c>
    </row>
    <row r="5" spans="1:6" x14ac:dyDescent="0.25">
      <c r="A5" s="2" t="s">
        <v>52</v>
      </c>
      <c r="B5" s="5">
        <v>0.32574739466991109</v>
      </c>
      <c r="C5" s="5">
        <v>0.10938928365384622</v>
      </c>
      <c r="D5" s="5">
        <v>4.0183039965364882E-2</v>
      </c>
      <c r="E5" s="5">
        <v>0.38025510204081597</v>
      </c>
      <c r="F5" s="5">
        <v>0.13902618809285164</v>
      </c>
    </row>
    <row r="6" spans="1:6" x14ac:dyDescent="0.25">
      <c r="A6" s="2" t="s">
        <v>210</v>
      </c>
      <c r="B6" s="5">
        <v>1.9456500000000002E-2</v>
      </c>
      <c r="C6" s="5">
        <v>4.0375000000000001E-2</v>
      </c>
      <c r="D6" s="5">
        <v>4.6378124999999999E-2</v>
      </c>
      <c r="E6" s="5"/>
      <c r="F6" s="5">
        <v>3.4408849999999998E-2</v>
      </c>
    </row>
    <row r="7" spans="1:6" x14ac:dyDescent="0.25">
      <c r="A7" s="2" t="s">
        <v>110</v>
      </c>
      <c r="B7" s="5"/>
      <c r="C7" s="5">
        <v>1.3565999999999998</v>
      </c>
      <c r="D7" s="5">
        <v>6.9529999999999995E-2</v>
      </c>
      <c r="E7" s="5"/>
      <c r="F7" s="5">
        <v>0.92757666666666649</v>
      </c>
    </row>
    <row r="8" spans="1:6" x14ac:dyDescent="0.25">
      <c r="A8" s="2" t="s">
        <v>289</v>
      </c>
      <c r="B8" s="5"/>
      <c r="C8" s="5"/>
      <c r="D8" s="5">
        <v>3.9524999999999998E-2</v>
      </c>
      <c r="E8" s="5">
        <v>7.4294715007992659E-2</v>
      </c>
      <c r="F8" s="5">
        <v>7.370539780446736E-2</v>
      </c>
    </row>
    <row r="9" spans="1:6" x14ac:dyDescent="0.25">
      <c r="A9" s="2" t="s">
        <v>290</v>
      </c>
      <c r="B9" s="5">
        <v>0.28490860871392293</v>
      </c>
      <c r="C9" s="5">
        <v>0.29595906434911251</v>
      </c>
      <c r="D9" s="5">
        <v>4.1650150327455615E-2</v>
      </c>
      <c r="E9" s="5">
        <v>7.9480484279735433E-2</v>
      </c>
      <c r="F9" s="5">
        <v>0.12153608477322132</v>
      </c>
    </row>
    <row r="15" spans="1:6" x14ac:dyDescent="0.25">
      <c r="A15" s="1" t="s">
        <v>292</v>
      </c>
      <c r="B15" s="1" t="s">
        <v>291</v>
      </c>
    </row>
    <row r="16" spans="1:6" x14ac:dyDescent="0.25">
      <c r="A16" s="1" t="s">
        <v>288</v>
      </c>
      <c r="B16" t="s">
        <v>54</v>
      </c>
      <c r="C16" t="s">
        <v>69</v>
      </c>
      <c r="D16" t="s">
        <v>114</v>
      </c>
      <c r="E16" t="s">
        <v>289</v>
      </c>
      <c r="F16" t="s">
        <v>290</v>
      </c>
    </row>
    <row r="17" spans="1:6" x14ac:dyDescent="0.25">
      <c r="A17" s="2" t="s">
        <v>52</v>
      </c>
      <c r="B17" s="5">
        <v>13</v>
      </c>
      <c r="C17" s="5">
        <v>10</v>
      </c>
      <c r="D17" s="5">
        <v>24</v>
      </c>
      <c r="E17" s="5">
        <v>1</v>
      </c>
      <c r="F17" s="5">
        <v>48</v>
      </c>
    </row>
    <row r="18" spans="1:6" x14ac:dyDescent="0.25">
      <c r="A18" s="2" t="s">
        <v>210</v>
      </c>
      <c r="B18" s="5">
        <v>2</v>
      </c>
      <c r="C18" s="5">
        <v>1</v>
      </c>
      <c r="D18" s="5">
        <v>2</v>
      </c>
      <c r="E18" s="5"/>
      <c r="F18" s="5">
        <v>5</v>
      </c>
    </row>
    <row r="19" spans="1:6" x14ac:dyDescent="0.25">
      <c r="A19" s="2" t="s">
        <v>110</v>
      </c>
      <c r="B19" s="5"/>
      <c r="C19" s="5">
        <v>2</v>
      </c>
      <c r="D19" s="5">
        <v>1</v>
      </c>
      <c r="E19" s="5"/>
      <c r="F19" s="5">
        <v>3</v>
      </c>
    </row>
    <row r="20" spans="1:6" x14ac:dyDescent="0.25">
      <c r="A20" s="2" t="s">
        <v>289</v>
      </c>
      <c r="B20" s="5"/>
      <c r="C20" s="5"/>
      <c r="D20" s="5">
        <v>1</v>
      </c>
      <c r="E20" s="5">
        <v>58</v>
      </c>
      <c r="F20" s="5">
        <v>59</v>
      </c>
    </row>
    <row r="21" spans="1:6" x14ac:dyDescent="0.25">
      <c r="A21" s="2" t="s">
        <v>290</v>
      </c>
      <c r="B21" s="5">
        <v>15</v>
      </c>
      <c r="C21" s="5">
        <v>13</v>
      </c>
      <c r="D21" s="5">
        <v>28</v>
      </c>
      <c r="E21" s="5">
        <v>59</v>
      </c>
      <c r="F21" s="5">
        <v>115</v>
      </c>
    </row>
    <row r="27" spans="1:6" x14ac:dyDescent="0.25">
      <c r="A27" s="3" t="s">
        <v>292</v>
      </c>
      <c r="B27" s="3" t="s">
        <v>291</v>
      </c>
      <c r="C27" s="3"/>
      <c r="D27" s="3"/>
      <c r="E27" s="3"/>
    </row>
    <row r="28" spans="1:6" x14ac:dyDescent="0.25">
      <c r="A28" s="4" t="s">
        <v>288</v>
      </c>
      <c r="B28" s="4" t="s">
        <v>54</v>
      </c>
      <c r="C28" s="4" t="s">
        <v>69</v>
      </c>
      <c r="D28" s="4" t="s">
        <v>114</v>
      </c>
      <c r="E28" s="4" t="s">
        <v>289</v>
      </c>
    </row>
    <row r="29" spans="1:6" x14ac:dyDescent="0.25">
      <c r="A29" s="82" t="s">
        <v>52</v>
      </c>
      <c r="B29" s="5">
        <v>13</v>
      </c>
      <c r="C29" s="5">
        <v>10</v>
      </c>
      <c r="D29" s="5">
        <v>24</v>
      </c>
      <c r="E29" s="81"/>
    </row>
    <row r="30" spans="1:6" x14ac:dyDescent="0.25">
      <c r="A30" s="82" t="s">
        <v>210</v>
      </c>
      <c r="B30" s="5">
        <v>2</v>
      </c>
      <c r="C30" s="5">
        <v>1</v>
      </c>
      <c r="D30" s="5">
        <v>2</v>
      </c>
      <c r="E30" s="81"/>
    </row>
    <row r="31" spans="1:6" x14ac:dyDescent="0.25">
      <c r="A31" s="82" t="s">
        <v>110</v>
      </c>
      <c r="B31" s="5"/>
      <c r="C31" s="5">
        <v>2</v>
      </c>
      <c r="D31" s="5">
        <v>1</v>
      </c>
      <c r="E31" s="81"/>
    </row>
    <row r="32" spans="1:6" x14ac:dyDescent="0.25">
      <c r="A32" s="82" t="s">
        <v>289</v>
      </c>
      <c r="B32" s="81"/>
      <c r="C32" s="81"/>
      <c r="D32" s="81"/>
      <c r="E32" s="81">
        <v>81</v>
      </c>
    </row>
    <row r="33" spans="1:5" x14ac:dyDescent="0.25">
      <c r="A33" s="76"/>
      <c r="B33" s="76">
        <v>100</v>
      </c>
      <c r="C33" s="81">
        <v>80</v>
      </c>
      <c r="D33" s="81">
        <v>60</v>
      </c>
      <c r="E33" s="76"/>
    </row>
    <row r="34" spans="1:5" x14ac:dyDescent="0.25">
      <c r="A34" s="76"/>
      <c r="B34" s="76">
        <v>0</v>
      </c>
      <c r="C34" s="81">
        <v>0</v>
      </c>
      <c r="D34" s="81">
        <v>0</v>
      </c>
      <c r="E34" s="76"/>
    </row>
    <row r="35" spans="1:5" x14ac:dyDescent="0.25">
      <c r="A35" s="76"/>
      <c r="B35" s="76">
        <v>50</v>
      </c>
      <c r="C35" s="81">
        <v>40</v>
      </c>
      <c r="D35" s="81">
        <v>30</v>
      </c>
      <c r="E35" s="76"/>
    </row>
    <row r="36" spans="1:5" x14ac:dyDescent="0.25">
      <c r="A36" s="76"/>
      <c r="B36" s="76"/>
      <c r="C36" s="76"/>
      <c r="D36" s="76"/>
      <c r="E36" s="76"/>
    </row>
    <row r="37" spans="1:5" x14ac:dyDescent="0.25">
      <c r="A37" s="76"/>
      <c r="B37" s="76"/>
      <c r="C37" s="76"/>
      <c r="D37" s="76"/>
      <c r="E37" s="76"/>
    </row>
    <row r="38" spans="1:5" x14ac:dyDescent="0.25">
      <c r="A38" s="76"/>
      <c r="B38" s="76">
        <f>B29*B33</f>
        <v>1300</v>
      </c>
      <c r="C38" s="76">
        <f t="shared" ref="C38:D38" si="0">C29*C33</f>
        <v>800</v>
      </c>
      <c r="D38" s="76">
        <f t="shared" si="0"/>
        <v>1440</v>
      </c>
      <c r="E38" s="76"/>
    </row>
    <row r="39" spans="1:5" x14ac:dyDescent="0.25">
      <c r="A39" s="76"/>
      <c r="B39" s="76">
        <f t="shared" ref="B39:D39" si="1">B30*B34</f>
        <v>0</v>
      </c>
      <c r="C39" s="76">
        <f t="shared" si="1"/>
        <v>0</v>
      </c>
      <c r="D39" s="76">
        <f t="shared" si="1"/>
        <v>0</v>
      </c>
      <c r="E39" s="76"/>
    </row>
    <row r="40" spans="1:5" x14ac:dyDescent="0.25">
      <c r="A40" s="76"/>
      <c r="B40" s="76">
        <f t="shared" ref="B40:D40" si="2">B31*B35</f>
        <v>0</v>
      </c>
      <c r="C40" s="76">
        <f t="shared" si="2"/>
        <v>80</v>
      </c>
      <c r="D40" s="76">
        <f t="shared" si="2"/>
        <v>30</v>
      </c>
      <c r="E40" s="76"/>
    </row>
    <row r="41" spans="1:5" x14ac:dyDescent="0.25">
      <c r="A41" s="76"/>
      <c r="B41" s="76"/>
      <c r="C41" s="76"/>
      <c r="D41" s="76"/>
      <c r="E41" s="76"/>
    </row>
    <row r="42" spans="1:5" x14ac:dyDescent="0.25">
      <c r="A42" s="76"/>
      <c r="B42" s="76"/>
      <c r="C42" s="83" t="s">
        <v>294</v>
      </c>
      <c r="D42" s="84">
        <f>SUM(B38:D40)/SUM(B29:D31)</f>
        <v>66.36363636363636</v>
      </c>
      <c r="E42" s="76"/>
    </row>
    <row r="43" spans="1:5" x14ac:dyDescent="0.25">
      <c r="A43" s="76"/>
      <c r="B43" s="76"/>
      <c r="C43" s="76"/>
      <c r="D43" s="76"/>
      <c r="E43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2:N135"/>
  <sheetViews>
    <sheetView view="pageBreakPreview" topLeftCell="A70" zoomScale="60" zoomScaleNormal="55" workbookViewId="0">
      <selection activeCell="E75" sqref="E75"/>
    </sheetView>
  </sheetViews>
  <sheetFormatPr defaultRowHeight="15" x14ac:dyDescent="0.25"/>
  <cols>
    <col min="1" max="1" width="10.85546875" bestFit="1" customWidth="1"/>
    <col min="2" max="2" width="37.140625" customWidth="1"/>
    <col min="3" max="3" width="23.85546875" customWidth="1"/>
    <col min="4" max="7" width="17" customWidth="1"/>
    <col min="8" max="8" width="37.5703125" customWidth="1"/>
    <col min="9" max="9" width="21.7109375" customWidth="1"/>
    <col min="10" max="10" width="13.140625" customWidth="1"/>
  </cols>
  <sheetData>
    <row r="2" spans="1:14" ht="23.25" x14ac:dyDescent="0.35">
      <c r="A2" s="67" t="s">
        <v>373</v>
      </c>
    </row>
    <row r="3" spans="1:14" x14ac:dyDescent="0.25">
      <c r="A3" s="68" t="s">
        <v>523</v>
      </c>
    </row>
    <row r="5" spans="1:14" ht="21" x14ac:dyDescent="0.35">
      <c r="B5" s="19" t="s">
        <v>304</v>
      </c>
      <c r="C5" s="20"/>
      <c r="D5" s="20"/>
      <c r="E5" s="20"/>
      <c r="F5" s="20"/>
      <c r="G5" s="20"/>
    </row>
    <row r="7" spans="1:14" x14ac:dyDescent="0.25">
      <c r="B7" s="7" t="s">
        <v>329</v>
      </c>
    </row>
    <row r="9" spans="1:14" x14ac:dyDescent="0.25">
      <c r="B9" s="33" t="s">
        <v>325</v>
      </c>
      <c r="C9" s="34" t="s">
        <v>287</v>
      </c>
    </row>
    <row r="10" spans="1:14" x14ac:dyDescent="0.25">
      <c r="B10" s="29" t="s">
        <v>114</v>
      </c>
      <c r="C10" s="35">
        <v>60</v>
      </c>
    </row>
    <row r="11" spans="1:14" x14ac:dyDescent="0.25">
      <c r="B11" s="29" t="s">
        <v>69</v>
      </c>
      <c r="C11" s="35">
        <v>80</v>
      </c>
    </row>
    <row r="12" spans="1:14" x14ac:dyDescent="0.25">
      <c r="B12" s="29" t="s">
        <v>54</v>
      </c>
      <c r="C12" s="35">
        <v>100</v>
      </c>
    </row>
    <row r="13" spans="1:14" x14ac:dyDescent="0.25">
      <c r="B13" s="29" t="s">
        <v>286</v>
      </c>
      <c r="C13" s="35">
        <v>70</v>
      </c>
      <c r="D13" t="s">
        <v>303</v>
      </c>
    </row>
    <row r="14" spans="1:14" x14ac:dyDescent="0.25">
      <c r="D14" s="6"/>
      <c r="N14" s="12"/>
    </row>
    <row r="15" spans="1:14" x14ac:dyDescent="0.25">
      <c r="D15" s="6"/>
      <c r="N15" s="12"/>
    </row>
    <row r="16" spans="1:14" x14ac:dyDescent="0.25">
      <c r="B16" s="7" t="s">
        <v>310</v>
      </c>
      <c r="C16" s="8"/>
    </row>
    <row r="17" spans="2:8" ht="34.5" customHeight="1" x14ac:dyDescent="0.25">
      <c r="B17" s="133" t="s">
        <v>300</v>
      </c>
      <c r="C17" s="133"/>
      <c r="D17" s="133"/>
      <c r="E17" s="133"/>
      <c r="F17" s="133"/>
      <c r="G17" s="133"/>
    </row>
    <row r="18" spans="2:8" x14ac:dyDescent="0.25">
      <c r="B18" s="34" t="s">
        <v>297</v>
      </c>
      <c r="C18" s="34" t="s">
        <v>306</v>
      </c>
      <c r="D18" s="34" t="s">
        <v>298</v>
      </c>
      <c r="E18" s="34" t="s">
        <v>296</v>
      </c>
      <c r="F18" s="34" t="s">
        <v>287</v>
      </c>
    </row>
    <row r="19" spans="2:8" x14ac:dyDescent="0.25">
      <c r="B19" s="64">
        <v>0.3</v>
      </c>
      <c r="C19" s="35">
        <v>0</v>
      </c>
      <c r="D19" s="66">
        <f>ROUND(PERCENTILE('MasterGISTable with Scoring'!$BH$2:$BH$31,B19),3)</f>
        <v>1.4999999999999999E-2</v>
      </c>
      <c r="E19" s="35" t="str">
        <f>"&lt; "&amp;D19</f>
        <v>&lt; 0.015</v>
      </c>
      <c r="F19" s="35">
        <f>B19*100</f>
        <v>30</v>
      </c>
    </row>
    <row r="20" spans="2:8" x14ac:dyDescent="0.25">
      <c r="B20" s="64">
        <v>0.5</v>
      </c>
      <c r="C20" s="66">
        <f>D19</f>
        <v>1.4999999999999999E-2</v>
      </c>
      <c r="D20" s="66">
        <f>ROUND(PERCENTILE('MasterGISTable with Scoring'!$BH$2:$BH$31,B20),3)</f>
        <v>0.05</v>
      </c>
      <c r="E20" s="35" t="str">
        <f>D19&amp;" - "&amp;D20</f>
        <v>0.015 - 0.05</v>
      </c>
      <c r="F20" s="35">
        <f>B20*100</f>
        <v>50</v>
      </c>
      <c r="H20" s="12"/>
    </row>
    <row r="21" spans="2:8" x14ac:dyDescent="0.25">
      <c r="B21" s="64">
        <v>0.7</v>
      </c>
      <c r="C21" s="66">
        <f t="shared" ref="C21:C23" si="0">D20</f>
        <v>0.05</v>
      </c>
      <c r="D21" s="66">
        <f>ROUND(PERCENTILE('MasterGISTable with Scoring'!$BH$2:$BH$31,B21),3)</f>
        <v>0.129</v>
      </c>
      <c r="E21" s="35" t="str">
        <f>D20&amp;" - "&amp;D21</f>
        <v>0.05 - 0.129</v>
      </c>
      <c r="F21" s="35">
        <f>B21*100</f>
        <v>70</v>
      </c>
      <c r="H21" s="12"/>
    </row>
    <row r="22" spans="2:8" x14ac:dyDescent="0.25">
      <c r="B22" s="64">
        <v>0.9</v>
      </c>
      <c r="C22" s="66">
        <f t="shared" si="0"/>
        <v>0.129</v>
      </c>
      <c r="D22" s="66">
        <f>ROUND(PERCENTILE('MasterGISTable with Scoring'!$BH$2:$BH$31,B22),3)</f>
        <v>0.20799999999999999</v>
      </c>
      <c r="E22" s="35" t="str">
        <f>D21&amp;" - "&amp;D22</f>
        <v>0.129 - 0.208</v>
      </c>
      <c r="F22" s="35">
        <f>B22*100</f>
        <v>90</v>
      </c>
    </row>
    <row r="23" spans="2:8" x14ac:dyDescent="0.25">
      <c r="B23" s="64">
        <v>1</v>
      </c>
      <c r="C23" s="66">
        <f t="shared" si="0"/>
        <v>0.20799999999999999</v>
      </c>
      <c r="D23" s="66">
        <f>ROUND(PERCENTILE('MasterGISTable with Scoring'!$BH$2:$BH$31,B23),3)</f>
        <v>0.68500000000000005</v>
      </c>
      <c r="E23" s="35" t="str">
        <f>D22&amp;" - "&amp;D23</f>
        <v>0.208 - 0.685</v>
      </c>
      <c r="F23" s="35">
        <f>B23*100</f>
        <v>100</v>
      </c>
    </row>
    <row r="24" spans="2:8" x14ac:dyDescent="0.25">
      <c r="B24" s="2"/>
      <c r="C24" s="11"/>
      <c r="D24" s="2"/>
      <c r="E24" s="2"/>
    </row>
    <row r="26" spans="2:8" x14ac:dyDescent="0.25">
      <c r="B26" s="7" t="s">
        <v>311</v>
      </c>
    </row>
    <row r="27" spans="2:8" x14ac:dyDescent="0.25">
      <c r="B27" t="s">
        <v>295</v>
      </c>
    </row>
    <row r="28" spans="2:8" x14ac:dyDescent="0.25">
      <c r="B28" t="s">
        <v>307</v>
      </c>
    </row>
    <row r="29" spans="2:8" x14ac:dyDescent="0.25">
      <c r="B29" t="s">
        <v>308</v>
      </c>
    </row>
    <row r="32" spans="2:8" x14ac:dyDescent="0.25">
      <c r="B32" s="7" t="s">
        <v>371</v>
      </c>
    </row>
    <row r="33" spans="2:6" x14ac:dyDescent="0.25">
      <c r="B33" t="s">
        <v>301</v>
      </c>
    </row>
    <row r="34" spans="2:6" ht="30" x14ac:dyDescent="0.25">
      <c r="B34" s="60" t="s">
        <v>297</v>
      </c>
      <c r="C34" s="60" t="s">
        <v>306</v>
      </c>
      <c r="D34" s="60" t="s">
        <v>298</v>
      </c>
      <c r="E34" s="60" t="s">
        <v>335</v>
      </c>
      <c r="F34" s="60" t="s">
        <v>287</v>
      </c>
    </row>
    <row r="35" spans="2:6" x14ac:dyDescent="0.25">
      <c r="B35" s="64">
        <v>0.3</v>
      </c>
      <c r="C35" s="35">
        <v>0</v>
      </c>
      <c r="D35" s="30">
        <f>ROUND(PERCENTILE('MasterGISTable with Scoring'!$BI$2:$BI$31,B35),-1)</f>
        <v>130</v>
      </c>
      <c r="E35" s="35" t="str">
        <f>"&lt; "&amp;D35</f>
        <v>&lt; 130</v>
      </c>
      <c r="F35" s="35">
        <f>B35*100</f>
        <v>30</v>
      </c>
    </row>
    <row r="36" spans="2:6" x14ac:dyDescent="0.25">
      <c r="B36" s="64">
        <v>0.5</v>
      </c>
      <c r="C36" s="30">
        <f>D35</f>
        <v>130</v>
      </c>
      <c r="D36" s="30">
        <f>ROUND(PERCENTILE('MasterGISTable with Scoring'!$BI$2:$BI$31,B36),-1)</f>
        <v>220</v>
      </c>
      <c r="E36" s="35" t="str">
        <f>D35&amp;" - "&amp;D36</f>
        <v>130 - 220</v>
      </c>
      <c r="F36" s="35">
        <f t="shared" ref="F36:F39" si="1">B36*100</f>
        <v>50</v>
      </c>
    </row>
    <row r="37" spans="2:6" x14ac:dyDescent="0.25">
      <c r="B37" s="64">
        <v>0.7</v>
      </c>
      <c r="C37" s="30">
        <f t="shared" ref="C37:C39" si="2">D36</f>
        <v>220</v>
      </c>
      <c r="D37" s="30">
        <f>ROUND(PERCENTILE('MasterGISTable with Scoring'!$BI$2:$BI$31,B37),-1)</f>
        <v>330</v>
      </c>
      <c r="E37" s="35" t="str">
        <f>D36&amp;" - "&amp;D37</f>
        <v>220 - 330</v>
      </c>
      <c r="F37" s="35">
        <f t="shared" si="1"/>
        <v>70</v>
      </c>
    </row>
    <row r="38" spans="2:6" x14ac:dyDescent="0.25">
      <c r="B38" s="64">
        <v>0.9</v>
      </c>
      <c r="C38" s="30">
        <f t="shared" si="2"/>
        <v>330</v>
      </c>
      <c r="D38" s="30">
        <f>ROUND(PERCENTILE('MasterGISTable with Scoring'!$BI$2:$BI$31,B38),-1)</f>
        <v>770</v>
      </c>
      <c r="E38" s="35" t="str">
        <f>D37&amp;" - "&amp;D38</f>
        <v>330 - 770</v>
      </c>
      <c r="F38" s="35">
        <f t="shared" si="1"/>
        <v>90</v>
      </c>
    </row>
    <row r="39" spans="2:6" x14ac:dyDescent="0.25">
      <c r="B39" s="64">
        <v>1</v>
      </c>
      <c r="C39" s="30">
        <f t="shared" si="2"/>
        <v>770</v>
      </c>
      <c r="D39" s="30">
        <f>ROUND(PERCENTILE('MasterGISTable with Scoring'!$BI$2:$BI$31,B39),-1)</f>
        <v>1210</v>
      </c>
      <c r="E39" s="35" t="str">
        <f>D38&amp;" - "&amp;D39</f>
        <v>770 - 1210</v>
      </c>
      <c r="F39" s="35">
        <f t="shared" si="1"/>
        <v>100</v>
      </c>
    </row>
    <row r="40" spans="2:6" x14ac:dyDescent="0.25">
      <c r="B40" s="2"/>
      <c r="C40" s="10"/>
      <c r="D40" s="10"/>
      <c r="E40" s="6"/>
      <c r="F40" s="6"/>
    </row>
    <row r="41" spans="2:6" x14ac:dyDescent="0.25">
      <c r="E41" s="6"/>
    </row>
    <row r="42" spans="2:6" x14ac:dyDescent="0.25">
      <c r="B42" s="7" t="s">
        <v>333</v>
      </c>
    </row>
    <row r="44" spans="2:6" ht="30" x14ac:dyDescent="0.25">
      <c r="B44" s="60" t="s">
        <v>317</v>
      </c>
      <c r="C44" s="60" t="s">
        <v>313</v>
      </c>
      <c r="D44" s="60" t="s">
        <v>314</v>
      </c>
      <c r="E44" s="60" t="s">
        <v>315</v>
      </c>
      <c r="F44" s="60" t="s">
        <v>287</v>
      </c>
    </row>
    <row r="45" spans="2:6" x14ac:dyDescent="0.25">
      <c r="B45" s="35" t="s">
        <v>316</v>
      </c>
      <c r="C45" s="35" t="s">
        <v>316</v>
      </c>
      <c r="D45" s="35" t="s">
        <v>316</v>
      </c>
      <c r="E45" s="35" t="s">
        <v>316</v>
      </c>
      <c r="F45" s="35">
        <v>100</v>
      </c>
    </row>
    <row r="46" spans="2:6" x14ac:dyDescent="0.25">
      <c r="B46" s="35" t="s">
        <v>316</v>
      </c>
      <c r="C46" s="35" t="s">
        <v>316</v>
      </c>
      <c r="D46" s="35"/>
      <c r="E46" s="35" t="s">
        <v>316</v>
      </c>
      <c r="F46" s="35">
        <v>80</v>
      </c>
    </row>
    <row r="47" spans="2:6" x14ac:dyDescent="0.25">
      <c r="B47" s="35" t="s">
        <v>316</v>
      </c>
      <c r="C47" s="35" t="s">
        <v>316</v>
      </c>
      <c r="D47" s="35" t="s">
        <v>316</v>
      </c>
      <c r="E47" s="35"/>
      <c r="F47" s="35">
        <v>60</v>
      </c>
    </row>
    <row r="48" spans="2:6" x14ac:dyDescent="0.25">
      <c r="B48" s="35" t="s">
        <v>316</v>
      </c>
      <c r="C48" s="35" t="s">
        <v>316</v>
      </c>
      <c r="D48" s="35"/>
      <c r="E48" s="35"/>
      <c r="F48" s="35">
        <v>40</v>
      </c>
    </row>
    <row r="49" spans="2:7" x14ac:dyDescent="0.25">
      <c r="B49" s="35" t="s">
        <v>316</v>
      </c>
      <c r="C49" s="35"/>
      <c r="D49" s="35"/>
      <c r="E49" s="35"/>
      <c r="F49" s="35">
        <v>20</v>
      </c>
    </row>
    <row r="52" spans="2:7" ht="21" x14ac:dyDescent="0.35">
      <c r="B52" s="19" t="s">
        <v>305</v>
      </c>
      <c r="C52" s="20"/>
      <c r="D52" s="20"/>
      <c r="E52" s="20"/>
      <c r="F52" s="20"/>
      <c r="G52" s="20"/>
    </row>
    <row r="54" spans="2:7" x14ac:dyDescent="0.25">
      <c r="B54" s="34" t="s">
        <v>326</v>
      </c>
      <c r="C54" s="34" t="s">
        <v>327</v>
      </c>
    </row>
    <row r="55" spans="2:7" ht="30" x14ac:dyDescent="0.25">
      <c r="B55" s="63" t="str">
        <f>B9</f>
        <v>Relative Contribution to Downstream Flow in Stream</v>
      </c>
      <c r="C55" s="64">
        <v>0.25</v>
      </c>
    </row>
    <row r="56" spans="2:7" x14ac:dyDescent="0.25">
      <c r="B56" s="63" t="str">
        <f>B16</f>
        <v>Flow Magnitude Score</v>
      </c>
      <c r="C56" s="64">
        <v>0.25</v>
      </c>
    </row>
    <row r="57" spans="2:7" x14ac:dyDescent="0.25">
      <c r="B57" s="63" t="str">
        <f>B26</f>
        <v>Baseflow Score</v>
      </c>
      <c r="C57" s="64">
        <v>0.25</v>
      </c>
    </row>
    <row r="58" spans="2:7" x14ac:dyDescent="0.25">
      <c r="B58" s="63" t="str">
        <f>B32</f>
        <v>Developed Area Treated Score</v>
      </c>
      <c r="C58" s="64">
        <v>0.1</v>
      </c>
    </row>
    <row r="59" spans="2:7" x14ac:dyDescent="0.25">
      <c r="B59" s="63" t="str">
        <f>B42</f>
        <v>Certainty Score</v>
      </c>
      <c r="C59" s="64">
        <v>0.15</v>
      </c>
    </row>
    <row r="60" spans="2:7" x14ac:dyDescent="0.25">
      <c r="B60" s="29" t="s">
        <v>318</v>
      </c>
      <c r="C60" s="64">
        <f>SUM(C55:C59)</f>
        <v>1</v>
      </c>
    </row>
    <row r="62" spans="2:7" x14ac:dyDescent="0.25">
      <c r="B62" s="33" t="s">
        <v>320</v>
      </c>
      <c r="C62" s="29"/>
    </row>
    <row r="63" spans="2:7" x14ac:dyDescent="0.25">
      <c r="B63" s="65" t="s">
        <v>52</v>
      </c>
      <c r="C63" s="35">
        <v>1</v>
      </c>
    </row>
    <row r="64" spans="2:7" x14ac:dyDescent="0.25">
      <c r="B64" s="65" t="s">
        <v>110</v>
      </c>
      <c r="C64" s="35">
        <v>0.5</v>
      </c>
      <c r="D64" t="s">
        <v>374</v>
      </c>
    </row>
    <row r="65" spans="2:14" x14ac:dyDescent="0.25">
      <c r="B65" s="29" t="s">
        <v>210</v>
      </c>
      <c r="C65" s="35">
        <v>0</v>
      </c>
    </row>
    <row r="69" spans="2:14" ht="21" x14ac:dyDescent="0.35">
      <c r="B69" s="19" t="s">
        <v>372</v>
      </c>
      <c r="C69" s="20"/>
      <c r="D69" s="20"/>
      <c r="E69" s="20"/>
      <c r="F69" s="20"/>
      <c r="G69" s="20"/>
    </row>
    <row r="71" spans="2:14" ht="15.75" x14ac:dyDescent="0.25">
      <c r="B71" s="57" t="s">
        <v>370</v>
      </c>
    </row>
    <row r="72" spans="2:14" ht="15.75" x14ac:dyDescent="0.25">
      <c r="B72" s="57"/>
    </row>
    <row r="73" spans="2:14" x14ac:dyDescent="0.25">
      <c r="B73" s="34" t="s">
        <v>321</v>
      </c>
      <c r="C73" s="34" t="s">
        <v>322</v>
      </c>
      <c r="D73" s="34" t="s">
        <v>323</v>
      </c>
      <c r="E73" s="34" t="s">
        <v>324</v>
      </c>
      <c r="N73" s="6"/>
    </row>
    <row r="74" spans="2:14" x14ac:dyDescent="0.25">
      <c r="B74" s="35">
        <v>0</v>
      </c>
      <c r="C74" s="35">
        <v>10</v>
      </c>
      <c r="D74" s="35" t="str">
        <f t="shared" ref="D74:D83" si="3">B74&amp;" - "&amp;C74</f>
        <v>0 - 10</v>
      </c>
      <c r="E74" s="35">
        <f>COUNTIFS('MasterGISTable with Scoring'!$BU$2:$BU$24,"&gt;="&amp;'Scoring and Weighting'!B74,'MasterGISTable with Scoring'!$BU$2:$BU$24,"&lt;"&amp;C74)</f>
        <v>0</v>
      </c>
      <c r="N74" s="6"/>
    </row>
    <row r="75" spans="2:14" x14ac:dyDescent="0.25">
      <c r="B75" s="35">
        <v>10</v>
      </c>
      <c r="C75" s="35">
        <v>20</v>
      </c>
      <c r="D75" s="35" t="str">
        <f t="shared" si="3"/>
        <v>10 - 20</v>
      </c>
      <c r="E75" s="35">
        <f>COUNTIFS('MasterGISTable with Scoring'!$BU$2:$BU$24,"&gt;="&amp;'Scoring and Weighting'!B75,'MasterGISTable with Scoring'!$BU$2:$BU$24,"&lt;"&amp;C75)</f>
        <v>0</v>
      </c>
      <c r="N75" s="6"/>
    </row>
    <row r="76" spans="2:14" x14ac:dyDescent="0.25">
      <c r="B76" s="35">
        <v>20</v>
      </c>
      <c r="C76" s="35">
        <v>30</v>
      </c>
      <c r="D76" s="35" t="str">
        <f t="shared" si="3"/>
        <v>20 - 30</v>
      </c>
      <c r="E76" s="35">
        <f>COUNTIFS('MasterGISTable with Scoring'!$BU$2:$BU$24,"&gt;="&amp;'Scoring and Weighting'!B76,'MasterGISTable with Scoring'!$BU$2:$BU$24,"&lt;"&amp;C76)</f>
        <v>0</v>
      </c>
      <c r="N76" s="6"/>
    </row>
    <row r="77" spans="2:14" x14ac:dyDescent="0.25">
      <c r="B77" s="35">
        <v>30</v>
      </c>
      <c r="C77" s="35">
        <v>40</v>
      </c>
      <c r="D77" s="35" t="str">
        <f t="shared" si="3"/>
        <v>30 - 40</v>
      </c>
      <c r="E77" s="35">
        <f>COUNTIFS('MasterGISTable with Scoring'!$BU$2:$BU$24,"&gt;="&amp;'Scoring and Weighting'!B77,'MasterGISTable with Scoring'!$BU$2:$BU$24,"&lt;"&amp;C77)</f>
        <v>4</v>
      </c>
      <c r="N77" s="6"/>
    </row>
    <row r="78" spans="2:14" x14ac:dyDescent="0.25">
      <c r="B78" s="35">
        <v>40</v>
      </c>
      <c r="C78" s="35">
        <v>50</v>
      </c>
      <c r="D78" s="35" t="str">
        <f t="shared" si="3"/>
        <v>40 - 50</v>
      </c>
      <c r="E78" s="35">
        <f>COUNTIFS('MasterGISTable with Scoring'!$BU$2:$BU$24,"&gt;="&amp;'Scoring and Weighting'!B78,'MasterGISTable with Scoring'!$BU$2:$BU$24,"&lt;"&amp;C78)</f>
        <v>5</v>
      </c>
      <c r="N78" s="6"/>
    </row>
    <row r="79" spans="2:14" x14ac:dyDescent="0.25">
      <c r="B79" s="35">
        <v>50</v>
      </c>
      <c r="C79" s="35">
        <v>60</v>
      </c>
      <c r="D79" s="35" t="str">
        <f t="shared" si="3"/>
        <v>50 - 60</v>
      </c>
      <c r="E79" s="35">
        <f>COUNTIFS('MasterGISTable with Scoring'!$BU$2:$BU$24,"&gt;="&amp;'Scoring and Weighting'!B79,'MasterGISTable with Scoring'!$BU$2:$BU$24,"&lt;"&amp;C79)</f>
        <v>5</v>
      </c>
      <c r="N79" s="6"/>
    </row>
    <row r="80" spans="2:14" x14ac:dyDescent="0.25">
      <c r="B80" s="35">
        <v>60</v>
      </c>
      <c r="C80" s="35">
        <v>70</v>
      </c>
      <c r="D80" s="35" t="str">
        <f t="shared" si="3"/>
        <v>60 - 70</v>
      </c>
      <c r="E80" s="35">
        <f>COUNTIFS('MasterGISTable with Scoring'!$BU$2:$BU$24,"&gt;="&amp;'Scoring and Weighting'!B80,'MasterGISTable with Scoring'!$BU$2:$BU$24,"&lt;"&amp;C80)</f>
        <v>5</v>
      </c>
      <c r="N80" s="6"/>
    </row>
    <row r="81" spans="2:14" x14ac:dyDescent="0.25">
      <c r="B81" s="35">
        <v>70</v>
      </c>
      <c r="C81" s="35">
        <v>80</v>
      </c>
      <c r="D81" s="35" t="str">
        <f t="shared" si="3"/>
        <v>70 - 80</v>
      </c>
      <c r="E81" s="35">
        <f>COUNTIFS('MasterGISTable with Scoring'!$BU$2:$BU$24,"&gt;="&amp;'Scoring and Weighting'!B81,'MasterGISTable with Scoring'!$BU$2:$BU$24,"&lt;"&amp;C81)</f>
        <v>2</v>
      </c>
      <c r="N81" s="6"/>
    </row>
    <row r="82" spans="2:14" x14ac:dyDescent="0.25">
      <c r="B82" s="35">
        <v>80</v>
      </c>
      <c r="C82" s="35">
        <v>90</v>
      </c>
      <c r="D82" s="35" t="str">
        <f t="shared" si="3"/>
        <v>80 - 90</v>
      </c>
      <c r="E82" s="35">
        <f>COUNTIFS('MasterGISTable with Scoring'!$BU$2:$BU$24,"&gt;="&amp;'Scoring and Weighting'!B82,'MasterGISTable with Scoring'!$BU$2:$BU$24,"&lt;"&amp;C82)</f>
        <v>2</v>
      </c>
      <c r="N82" s="6"/>
    </row>
    <row r="83" spans="2:14" x14ac:dyDescent="0.25">
      <c r="B83" s="35">
        <v>90</v>
      </c>
      <c r="C83" s="35">
        <v>100</v>
      </c>
      <c r="D83" s="35" t="str">
        <f t="shared" si="3"/>
        <v>90 - 100</v>
      </c>
      <c r="E83" s="35">
        <f>COUNTIFS('MasterGISTable with Scoring'!$BU$2:$BU$24,"&gt;="&amp;'Scoring and Weighting'!B83,'MasterGISTable with Scoring'!$BU$2:$BU$24,"&lt;"&amp;C83)</f>
        <v>0</v>
      </c>
      <c r="N83" s="6"/>
    </row>
    <row r="112" spans="2:4" ht="15.75" x14ac:dyDescent="0.25">
      <c r="B112" s="57" t="s">
        <v>369</v>
      </c>
      <c r="C112" s="6"/>
      <c r="D112" s="6"/>
    </row>
    <row r="113" spans="2:11" x14ac:dyDescent="0.25">
      <c r="C113" s="56"/>
      <c r="D113" s="56"/>
    </row>
    <row r="114" spans="2:11" ht="30" x14ac:dyDescent="0.25">
      <c r="B114" s="60" t="s">
        <v>362</v>
      </c>
      <c r="C114" s="60" t="s">
        <v>366</v>
      </c>
      <c r="D114" s="60" t="s">
        <v>365</v>
      </c>
      <c r="E114" s="60" t="s">
        <v>364</v>
      </c>
      <c r="F114" s="60" t="s">
        <v>363</v>
      </c>
    </row>
    <row r="115" spans="2:11" x14ac:dyDescent="0.25">
      <c r="B115" s="35">
        <v>20</v>
      </c>
      <c r="C115" s="35">
        <f>COUNTIF('MasterGISTable with Scoring'!$BU$2:$BU$31,"&gt;"&amp;'Scoring and Weighting'!B115)</f>
        <v>23</v>
      </c>
      <c r="D115" s="61">
        <f>SUMIFS('MasterGISTable with Scoring'!$BH$2:$BH$24,'MasterGISTable with Scoring'!$BU$2:$BU$24,"&gt;"&amp;'Scoring and Weighting'!B115)</f>
        <v>2.5890000000000004</v>
      </c>
      <c r="E115" s="61">
        <f>D115*7.48*3600*24/10^6</f>
        <v>1.6731982080000001</v>
      </c>
      <c r="F115" s="62">
        <f>D115/C115</f>
        <v>0.11256521739130436</v>
      </c>
      <c r="H115">
        <f>C115</f>
        <v>23</v>
      </c>
      <c r="I115" s="71">
        <f>F115</f>
        <v>0.11256521739130436</v>
      </c>
      <c r="J115" s="9">
        <f>I115*H115</f>
        <v>2.5890000000000004</v>
      </c>
      <c r="K115" s="72">
        <f t="shared" ref="K115:K121" si="4">J115/$J$115</f>
        <v>1</v>
      </c>
    </row>
    <row r="116" spans="2:11" x14ac:dyDescent="0.25">
      <c r="B116" s="35">
        <v>30</v>
      </c>
      <c r="C116" s="35">
        <f>COUNTIF('MasterGISTable with Scoring'!$BU$2:$BU$31,"&gt;"&amp;'Scoring and Weighting'!B116)</f>
        <v>23</v>
      </c>
      <c r="D116" s="61">
        <f>SUMIFS('MasterGISTable with Scoring'!$BH$2:$BH$24,'MasterGISTable with Scoring'!$BU$2:$BU$24,"&gt;"&amp;'Scoring and Weighting'!B116)</f>
        <v>2.5890000000000004</v>
      </c>
      <c r="E116" s="61">
        <f t="shared" ref="E116:E122" si="5">D116*7.48*3600*24/10^6</f>
        <v>1.6731982080000001</v>
      </c>
      <c r="F116" s="62">
        <f>D116/C116</f>
        <v>0.11256521739130436</v>
      </c>
      <c r="H116">
        <f t="shared" ref="H116:H122" si="6">C116</f>
        <v>23</v>
      </c>
      <c r="I116" s="71">
        <f t="shared" ref="I116:I120" si="7">F116</f>
        <v>0.11256521739130436</v>
      </c>
      <c r="J116" s="9">
        <f t="shared" ref="J116:J122" si="8">I116*H116</f>
        <v>2.5890000000000004</v>
      </c>
      <c r="K116" s="72">
        <f t="shared" si="4"/>
        <v>1</v>
      </c>
    </row>
    <row r="117" spans="2:11" x14ac:dyDescent="0.25">
      <c r="B117" s="35">
        <v>40</v>
      </c>
      <c r="C117" s="35">
        <f>COUNTIF('MasterGISTable with Scoring'!$BU$2:$BU$31,"&gt;"&amp;'Scoring and Weighting'!B117)</f>
        <v>19</v>
      </c>
      <c r="D117" s="61">
        <f>SUMIFS('MasterGISTable with Scoring'!$BH$2:$BH$24,'MasterGISTable with Scoring'!$BU$2:$BU$24,"&gt;"&amp;'Scoring and Weighting'!B117)</f>
        <v>2.226</v>
      </c>
      <c r="E117" s="61">
        <f t="shared" si="5"/>
        <v>1.438601472</v>
      </c>
      <c r="F117" s="62">
        <f t="shared" ref="F117:F122" si="9">D117/C117</f>
        <v>0.1171578947368421</v>
      </c>
      <c r="H117">
        <f t="shared" si="6"/>
        <v>19</v>
      </c>
      <c r="I117" s="71">
        <f t="shared" si="7"/>
        <v>0.1171578947368421</v>
      </c>
      <c r="J117" s="9">
        <f t="shared" si="8"/>
        <v>2.226</v>
      </c>
      <c r="K117" s="72">
        <f t="shared" si="4"/>
        <v>0.85979142526071828</v>
      </c>
    </row>
    <row r="118" spans="2:11" x14ac:dyDescent="0.25">
      <c r="B118" s="35">
        <v>50</v>
      </c>
      <c r="C118" s="35">
        <f>COUNTIF('MasterGISTable with Scoring'!$BU$2:$BU$31,"&gt;"&amp;'Scoring and Weighting'!B118)</f>
        <v>14</v>
      </c>
      <c r="D118" s="61">
        <f>SUMIFS('MasterGISTable with Scoring'!$BH$2:$BH$24,'MasterGISTable with Scoring'!$BU$2:$BU$24,"&gt;"&amp;'Scoring and Weighting'!B118)</f>
        <v>2.0609999999999999</v>
      </c>
      <c r="E118" s="61">
        <f t="shared" si="5"/>
        <v>1.3319665919999999</v>
      </c>
      <c r="F118" s="62">
        <f t="shared" si="9"/>
        <v>0.14721428571428571</v>
      </c>
      <c r="H118">
        <f t="shared" si="6"/>
        <v>14</v>
      </c>
      <c r="I118" s="71">
        <f t="shared" si="7"/>
        <v>0.14721428571428571</v>
      </c>
      <c r="J118" s="9">
        <f t="shared" si="8"/>
        <v>2.0609999999999999</v>
      </c>
      <c r="K118" s="72">
        <f t="shared" si="4"/>
        <v>0.79606025492468124</v>
      </c>
    </row>
    <row r="119" spans="2:11" x14ac:dyDescent="0.25">
      <c r="B119" s="35">
        <v>60</v>
      </c>
      <c r="C119" s="35">
        <f>COUNTIF('MasterGISTable with Scoring'!$BU$2:$BU$31,"&gt;"&amp;'Scoring and Weighting'!B119)</f>
        <v>9</v>
      </c>
      <c r="D119" s="61">
        <f>SUMIFS('MasterGISTable with Scoring'!$BH$2:$BH$24,'MasterGISTable with Scoring'!$BU$2:$BU$24,"&gt;"&amp;'Scoring and Weighting'!B119)</f>
        <v>1.75</v>
      </c>
      <c r="E119" s="61">
        <f t="shared" si="5"/>
        <v>1.130976</v>
      </c>
      <c r="F119" s="62">
        <f>D119/C119</f>
        <v>0.19444444444444445</v>
      </c>
      <c r="H119">
        <f t="shared" si="6"/>
        <v>9</v>
      </c>
      <c r="I119" s="71">
        <f t="shared" si="7"/>
        <v>0.19444444444444445</v>
      </c>
      <c r="J119" s="9">
        <f t="shared" si="8"/>
        <v>1.75</v>
      </c>
      <c r="K119" s="72">
        <f t="shared" si="4"/>
        <v>0.67593665507918099</v>
      </c>
    </row>
    <row r="120" spans="2:11" x14ac:dyDescent="0.25">
      <c r="B120" s="35">
        <v>70</v>
      </c>
      <c r="C120" s="35">
        <f>COUNTIF('MasterGISTable with Scoring'!$BU$2:$BU$31,"&gt;"&amp;'Scoring and Weighting'!B120)</f>
        <v>4</v>
      </c>
      <c r="D120" s="61">
        <f>SUMIFS('MasterGISTable with Scoring'!$BH$2:$BH$24,'MasterGISTable with Scoring'!$BU$2:$BU$24,"&gt;"&amp;'Scoring and Weighting'!B120)</f>
        <v>1.4830000000000001</v>
      </c>
      <c r="E120" s="61">
        <f t="shared" si="5"/>
        <v>0.9584213760000001</v>
      </c>
      <c r="F120" s="62">
        <f t="shared" si="9"/>
        <v>0.37075000000000002</v>
      </c>
      <c r="H120">
        <f t="shared" si="6"/>
        <v>4</v>
      </c>
      <c r="I120" s="71">
        <f t="shared" si="7"/>
        <v>0.37075000000000002</v>
      </c>
      <c r="J120" s="9">
        <f t="shared" si="8"/>
        <v>1.4830000000000001</v>
      </c>
      <c r="K120" s="72">
        <f t="shared" si="4"/>
        <v>0.5728080339899575</v>
      </c>
    </row>
    <row r="121" spans="2:11" x14ac:dyDescent="0.25">
      <c r="B121" s="35">
        <v>80</v>
      </c>
      <c r="C121" s="35">
        <f>COUNTIF('MasterGISTable with Scoring'!$BU$2:$BU$31,"&gt;"&amp;'Scoring and Weighting'!B121)</f>
        <v>2</v>
      </c>
      <c r="D121" s="61">
        <f>SUMIFS('MasterGISTable with Scoring'!$BH$2:$BH$24,'MasterGISTable with Scoring'!$BU$2:$BU$24,"&gt;"&amp;'Scoring and Weighting'!B121)</f>
        <v>0.69899999999999995</v>
      </c>
      <c r="E121" s="61">
        <f>D121*7.48*3600*24/10^6</f>
        <v>0.45174412799999997</v>
      </c>
      <c r="F121" s="62">
        <f t="shared" si="9"/>
        <v>0.34949999999999998</v>
      </c>
      <c r="H121">
        <f t="shared" si="6"/>
        <v>2</v>
      </c>
      <c r="I121" s="71">
        <v>0.186</v>
      </c>
      <c r="J121">
        <f t="shared" si="8"/>
        <v>0.372</v>
      </c>
      <c r="K121" s="72">
        <f t="shared" si="4"/>
        <v>0.14368482039397448</v>
      </c>
    </row>
    <row r="122" spans="2:11" x14ac:dyDescent="0.25">
      <c r="B122" s="35">
        <v>90</v>
      </c>
      <c r="C122" s="35">
        <f>COUNTIF('MasterGISTable with Scoring'!$BU$2:$BU$31,"&gt;"&amp;'Scoring and Weighting'!B122)</f>
        <v>0</v>
      </c>
      <c r="D122" s="61">
        <f>SUMIFS('MasterGISTable with Scoring'!$BH$2:$BH$24,'MasterGISTable with Scoring'!$BU$2:$BU$24,"&gt;"&amp;'Scoring and Weighting'!B122)</f>
        <v>0</v>
      </c>
      <c r="E122" s="61">
        <f t="shared" si="5"/>
        <v>0</v>
      </c>
      <c r="F122" s="62" t="e">
        <f t="shared" si="9"/>
        <v>#DIV/0!</v>
      </c>
      <c r="H122">
        <f t="shared" si="6"/>
        <v>0</v>
      </c>
      <c r="I122" s="71">
        <v>0.186</v>
      </c>
      <c r="J122">
        <f t="shared" si="8"/>
        <v>0</v>
      </c>
      <c r="K122" s="72">
        <f>J122/$J$115</f>
        <v>0</v>
      </c>
    </row>
    <row r="123" spans="2:11" x14ac:dyDescent="0.25">
      <c r="H123">
        <v>0</v>
      </c>
      <c r="I123">
        <v>0.189</v>
      </c>
      <c r="J123">
        <v>0</v>
      </c>
      <c r="K123" s="72">
        <f>J123/$J$115</f>
        <v>0</v>
      </c>
    </row>
    <row r="126" spans="2:11" ht="15.75" x14ac:dyDescent="0.25">
      <c r="B126" s="57" t="s">
        <v>368</v>
      </c>
    </row>
    <row r="128" spans="2:11" x14ac:dyDescent="0.25">
      <c r="B128" s="131" t="s">
        <v>11</v>
      </c>
      <c r="C128" s="130" t="s">
        <v>367</v>
      </c>
      <c r="D128" s="130"/>
      <c r="E128" s="130"/>
      <c r="F128" s="130"/>
      <c r="G128" s="130"/>
    </row>
    <row r="129" spans="2:7" x14ac:dyDescent="0.25">
      <c r="B129" s="132"/>
      <c r="C129" s="34">
        <v>30</v>
      </c>
      <c r="D129" s="34">
        <v>50</v>
      </c>
      <c r="E129" s="34">
        <v>60</v>
      </c>
      <c r="F129" s="34">
        <v>70</v>
      </c>
      <c r="G129" s="34">
        <v>80</v>
      </c>
    </row>
    <row r="130" spans="2:7" x14ac:dyDescent="0.25">
      <c r="B130" s="58" t="s">
        <v>51</v>
      </c>
      <c r="C130" s="35">
        <f>COUNTIFS('MasterGISTable with Scoring'!$BU$2:$BU$24,"&gt;"&amp;'Scoring and Weighting'!C$129,'MasterGISTable with Scoring'!$L$2:$L$24,'Scoring and Weighting'!$B130)</f>
        <v>0</v>
      </c>
      <c r="D130" s="35">
        <f>COUNTIFS('MasterGISTable with Scoring'!$BU$2:$BU$24,"&gt;"&amp;'Scoring and Weighting'!D$129,'MasterGISTable with Scoring'!$L$2:$L$24,'Scoring and Weighting'!$B130)</f>
        <v>0</v>
      </c>
      <c r="E130" s="35">
        <f>COUNTIFS('MasterGISTable with Scoring'!$BU$2:$BU$24,"&gt;"&amp;'Scoring and Weighting'!E$129,'MasterGISTable with Scoring'!$L$2:$L$24,'Scoring and Weighting'!$B130)</f>
        <v>0</v>
      </c>
      <c r="F130" s="35">
        <f>COUNTIFS('MasterGISTable with Scoring'!$BU$2:$BU$24,"&gt;"&amp;'Scoring and Weighting'!F$129,'MasterGISTable with Scoring'!$L$2:$L$24,'Scoring and Weighting'!$B130)</f>
        <v>0</v>
      </c>
      <c r="G130" s="35">
        <f>COUNTIFS('MasterGISTable with Scoring'!$BU$2:$BU$24,"&gt;"&amp;'Scoring and Weighting'!G$129,'MasterGISTable with Scoring'!$L$2:$L$24,'Scoring and Weighting'!$B130)</f>
        <v>0</v>
      </c>
    </row>
    <row r="131" spans="2:7" x14ac:dyDescent="0.25">
      <c r="B131" s="58" t="s">
        <v>84</v>
      </c>
      <c r="C131" s="35">
        <f>COUNTIFS('MasterGISTable with Scoring'!$BU$2:$BU$24,"&gt;"&amp;'Scoring and Weighting'!C$129,'MasterGISTable with Scoring'!$L$2:$L$24,'Scoring and Weighting'!$B131)</f>
        <v>6</v>
      </c>
      <c r="D131" s="35">
        <f>COUNTIFS('MasterGISTable with Scoring'!$BU$2:$BU$24,"&gt;"&amp;'Scoring and Weighting'!D$129,'MasterGISTable with Scoring'!$L$2:$L$24,'Scoring and Weighting'!$B131)</f>
        <v>1</v>
      </c>
      <c r="E131" s="35">
        <f>COUNTIFS('MasterGISTable with Scoring'!$BU$2:$BU$24,"&gt;"&amp;'Scoring and Weighting'!E$129,'MasterGISTable with Scoring'!$L$2:$L$24,'Scoring and Weighting'!$B131)</f>
        <v>1</v>
      </c>
      <c r="F131" s="35">
        <f>COUNTIFS('MasterGISTable with Scoring'!$BU$2:$BU$24,"&gt;"&amp;'Scoring and Weighting'!F$129,'MasterGISTable with Scoring'!$L$2:$L$24,'Scoring and Weighting'!$B131)</f>
        <v>0</v>
      </c>
      <c r="G131" s="35">
        <f>COUNTIFS('MasterGISTable with Scoring'!$BU$2:$BU$24,"&gt;"&amp;'Scoring and Weighting'!G$129,'MasterGISTable with Scoring'!$L$2:$L$24,'Scoring and Weighting'!$B131)</f>
        <v>0</v>
      </c>
    </row>
    <row r="132" spans="2:7" x14ac:dyDescent="0.25">
      <c r="B132" s="58" t="s">
        <v>149</v>
      </c>
      <c r="C132" s="35">
        <f>COUNTIFS('MasterGISTable with Scoring'!$BU$2:$BU$24,"&gt;"&amp;'Scoring and Weighting'!C$129,'MasterGISTable with Scoring'!$L$2:$L$24,'Scoring and Weighting'!$B132)</f>
        <v>0</v>
      </c>
      <c r="D132" s="35">
        <f>COUNTIFS('MasterGISTable with Scoring'!$BU$2:$BU$24,"&gt;"&amp;'Scoring and Weighting'!D$129,'MasterGISTable with Scoring'!$L$2:$L$24,'Scoring and Weighting'!$B132)</f>
        <v>0</v>
      </c>
      <c r="E132" s="35">
        <f>COUNTIFS('MasterGISTable with Scoring'!$BU$2:$BU$24,"&gt;"&amp;'Scoring and Weighting'!E$129,'MasterGISTable with Scoring'!$L$2:$L$24,'Scoring and Weighting'!$B132)</f>
        <v>0</v>
      </c>
      <c r="F132" s="35">
        <f>COUNTIFS('MasterGISTable with Scoring'!$BU$2:$BU$24,"&gt;"&amp;'Scoring and Weighting'!F$129,'MasterGISTable with Scoring'!$L$2:$L$24,'Scoring and Weighting'!$B132)</f>
        <v>0</v>
      </c>
      <c r="G132" s="35">
        <f>COUNTIFS('MasterGISTable with Scoring'!$BU$2:$BU$24,"&gt;"&amp;'Scoring and Weighting'!G$129,'MasterGISTable with Scoring'!$L$2:$L$24,'Scoring and Weighting'!$B132)</f>
        <v>0</v>
      </c>
    </row>
    <row r="133" spans="2:7" x14ac:dyDescent="0.25">
      <c r="B133" s="58" t="s">
        <v>180</v>
      </c>
      <c r="C133" s="35">
        <f>COUNTIFS('MasterGISTable with Scoring'!$BU$2:$BU$24,"&gt;"&amp;'Scoring and Weighting'!C$129,'MasterGISTable with Scoring'!$L$2:$L$24,'Scoring and Weighting'!$B133)</f>
        <v>5</v>
      </c>
      <c r="D133" s="35">
        <f>COUNTIFS('MasterGISTable with Scoring'!$BU$2:$BU$24,"&gt;"&amp;'Scoring and Weighting'!D$129,'MasterGISTable with Scoring'!$L$2:$L$24,'Scoring and Weighting'!$B133)</f>
        <v>4</v>
      </c>
      <c r="E133" s="35">
        <f>COUNTIFS('MasterGISTable with Scoring'!$BU$2:$BU$24,"&gt;"&amp;'Scoring and Weighting'!E$129,'MasterGISTable with Scoring'!$L$2:$L$24,'Scoring and Weighting'!$B133)</f>
        <v>3</v>
      </c>
      <c r="F133" s="35">
        <f>COUNTIFS('MasterGISTable with Scoring'!$BU$2:$BU$24,"&gt;"&amp;'Scoring and Weighting'!F$129,'MasterGISTable with Scoring'!$L$2:$L$24,'Scoring and Weighting'!$B133)</f>
        <v>2</v>
      </c>
      <c r="G133" s="35">
        <f>COUNTIFS('MasterGISTable with Scoring'!$BU$2:$BU$24,"&gt;"&amp;'Scoring and Weighting'!G$129,'MasterGISTable with Scoring'!$L$2:$L$24,'Scoring and Weighting'!$B133)</f>
        <v>1</v>
      </c>
    </row>
    <row r="134" spans="2:7" x14ac:dyDescent="0.25">
      <c r="B134" s="58" t="s">
        <v>64</v>
      </c>
      <c r="C134" s="35">
        <f>COUNTIFS('MasterGISTable with Scoring'!$BU$2:$BU$24,"&gt;"&amp;'Scoring and Weighting'!C$129,'MasterGISTable with Scoring'!$L$2:$L$24,'Scoring and Weighting'!$B134)</f>
        <v>12</v>
      </c>
      <c r="D134" s="35">
        <f>COUNTIFS('MasterGISTable with Scoring'!$BU$2:$BU$24,"&gt;"&amp;'Scoring and Weighting'!D$129,'MasterGISTable with Scoring'!$L$2:$L$24,'Scoring and Weighting'!$B134)</f>
        <v>9</v>
      </c>
      <c r="E134" s="35">
        <f>COUNTIFS('MasterGISTable with Scoring'!$BU$2:$BU$24,"&gt;"&amp;'Scoring and Weighting'!E$129,'MasterGISTable with Scoring'!$L$2:$L$24,'Scoring and Weighting'!$B134)</f>
        <v>5</v>
      </c>
      <c r="F134" s="35">
        <f>COUNTIFS('MasterGISTable with Scoring'!$BU$2:$BU$24,"&gt;"&amp;'Scoring and Weighting'!F$129,'MasterGISTable with Scoring'!$L$2:$L$24,'Scoring and Weighting'!$B134)</f>
        <v>2</v>
      </c>
      <c r="G134" s="35">
        <f>COUNTIFS('MasterGISTable with Scoring'!$BU$2:$BU$24,"&gt;"&amp;'Scoring and Weighting'!G$129,'MasterGISTable with Scoring'!$L$2:$L$24,'Scoring and Weighting'!$B134)</f>
        <v>1</v>
      </c>
    </row>
    <row r="135" spans="2:7" x14ac:dyDescent="0.25">
      <c r="B135" s="59" t="s">
        <v>318</v>
      </c>
      <c r="C135" s="35">
        <f>SUM(C130:C134)</f>
        <v>23</v>
      </c>
      <c r="D135" s="35">
        <f t="shared" ref="D135:G135" si="10">SUM(D130:D134)</f>
        <v>14</v>
      </c>
      <c r="E135" s="35">
        <f t="shared" si="10"/>
        <v>9</v>
      </c>
      <c r="F135" s="35">
        <f t="shared" si="10"/>
        <v>4</v>
      </c>
      <c r="G135" s="35">
        <f t="shared" si="10"/>
        <v>2</v>
      </c>
    </row>
  </sheetData>
  <mergeCells count="3">
    <mergeCell ref="C128:G128"/>
    <mergeCell ref="B128:B129"/>
    <mergeCell ref="B17:G17"/>
  </mergeCells>
  <pageMargins left="0.7" right="0.7" top="0.75" bottom="0.75" header="0.3" footer="0.3"/>
  <pageSetup scale="64" orientation="portrait" horizontalDpi="1200" verticalDpi="1200" r:id="rId1"/>
  <rowBreaks count="1" manualBreakCount="1">
    <brk id="67" max="6" man="1"/>
  </rowBreaks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BU31"/>
  <sheetViews>
    <sheetView tabSelected="1" topLeftCell="P1" zoomScale="55" zoomScaleNormal="55" workbookViewId="0">
      <selection activeCell="R18" sqref="R18"/>
    </sheetView>
  </sheetViews>
  <sheetFormatPr defaultRowHeight="15" x14ac:dyDescent="0.25"/>
  <cols>
    <col min="1" max="1" width="27" customWidth="1"/>
    <col min="2" max="2" width="15.140625" customWidth="1"/>
    <col min="10" max="10" width="20.5703125" customWidth="1"/>
    <col min="12" max="12" width="13.5703125" bestFit="1" customWidth="1"/>
    <col min="13" max="13" width="15" customWidth="1"/>
    <col min="14" max="15" width="21" customWidth="1"/>
    <col min="16" max="16" width="14.140625" customWidth="1"/>
    <col min="18" max="29" width="9.5703125" style="69" customWidth="1"/>
    <col min="31" max="35" width="11.7109375" customWidth="1"/>
    <col min="36" max="36" width="16.7109375" customWidth="1"/>
    <col min="37" max="40" width="21.85546875" customWidth="1"/>
    <col min="41" max="42" width="13.85546875" customWidth="1"/>
    <col min="43" max="43" width="13.85546875" style="76" customWidth="1"/>
    <col min="44" max="59" width="13.85546875" customWidth="1"/>
    <col min="60" max="60" width="13.7109375" style="18" customWidth="1"/>
    <col min="61" max="61" width="11.7109375" style="18" customWidth="1"/>
    <col min="62" max="67" width="15.7109375" style="14" customWidth="1"/>
    <col min="68" max="72" width="15.7109375" style="22" customWidth="1"/>
    <col min="73" max="73" width="15.140625" style="25" customWidth="1"/>
  </cols>
  <sheetData>
    <row r="1" spans="1:73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522</v>
      </c>
      <c r="AD1" t="s">
        <v>276</v>
      </c>
      <c r="AE1" t="s">
        <v>277</v>
      </c>
      <c r="AF1" t="s">
        <v>278</v>
      </c>
      <c r="AG1" t="s">
        <v>279</v>
      </c>
      <c r="AH1" t="s">
        <v>280</v>
      </c>
      <c r="AI1" t="s">
        <v>281</v>
      </c>
      <c r="AJ1" t="s">
        <v>282</v>
      </c>
      <c r="AK1" t="s">
        <v>283</v>
      </c>
      <c r="AL1" t="s">
        <v>284</v>
      </c>
      <c r="AM1" t="s">
        <v>28</v>
      </c>
      <c r="AN1" t="s">
        <v>285</v>
      </c>
      <c r="AO1" t="s">
        <v>29</v>
      </c>
      <c r="AP1" t="s">
        <v>30</v>
      </c>
      <c r="AQ1" s="76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s="17" t="s">
        <v>299</v>
      </c>
      <c r="BI1" s="17" t="s">
        <v>302</v>
      </c>
      <c r="BJ1" s="13" t="s">
        <v>329</v>
      </c>
      <c r="BK1" s="13" t="s">
        <v>310</v>
      </c>
      <c r="BL1" s="13" t="s">
        <v>311</v>
      </c>
      <c r="BM1" s="13" t="s">
        <v>312</v>
      </c>
      <c r="BN1" s="13" t="s">
        <v>333</v>
      </c>
      <c r="BO1" s="13" t="s">
        <v>309</v>
      </c>
      <c r="BP1" s="21" t="s">
        <v>328</v>
      </c>
      <c r="BQ1" s="21" t="s">
        <v>330</v>
      </c>
      <c r="BR1" s="21" t="s">
        <v>331</v>
      </c>
      <c r="BS1" s="21" t="s">
        <v>332</v>
      </c>
      <c r="BT1" s="21" t="s">
        <v>334</v>
      </c>
      <c r="BU1" s="23" t="s">
        <v>319</v>
      </c>
    </row>
    <row r="2" spans="1:73" x14ac:dyDescent="0.25">
      <c r="A2" t="s">
        <v>264</v>
      </c>
      <c r="B2" t="s">
        <v>265</v>
      </c>
      <c r="C2">
        <v>96</v>
      </c>
      <c r="F2">
        <v>641</v>
      </c>
      <c r="G2" t="s">
        <v>62</v>
      </c>
      <c r="H2">
        <v>1</v>
      </c>
      <c r="I2">
        <v>0</v>
      </c>
      <c r="J2" t="s">
        <v>63</v>
      </c>
      <c r="K2" t="s">
        <v>50</v>
      </c>
      <c r="L2" t="s">
        <v>64</v>
      </c>
      <c r="M2">
        <v>43302.910212702802</v>
      </c>
      <c r="N2">
        <v>40351462.477653503</v>
      </c>
      <c r="O2">
        <v>926.34500026169906</v>
      </c>
      <c r="P2">
        <v>84</v>
      </c>
      <c r="Q2">
        <v>63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99</v>
      </c>
      <c r="AB2">
        <v>0</v>
      </c>
      <c r="AC2">
        <v>0</v>
      </c>
      <c r="AD2">
        <v>1</v>
      </c>
      <c r="AE2">
        <v>0.45</v>
      </c>
      <c r="AF2">
        <v>0.01</v>
      </c>
      <c r="AG2">
        <v>1.2</v>
      </c>
      <c r="AH2">
        <v>4.5900000000000003E-3</v>
      </c>
      <c r="AI2">
        <v>4.5900000000000003E-3</v>
      </c>
      <c r="AJ2">
        <v>4.5900000000000003E-3</v>
      </c>
      <c r="AK2" t="s">
        <v>52</v>
      </c>
      <c r="AM2" t="s">
        <v>53</v>
      </c>
      <c r="AN2" t="s">
        <v>69</v>
      </c>
      <c r="AO2" t="s">
        <v>535</v>
      </c>
      <c r="AP2">
        <v>6.4444439999999997E-3</v>
      </c>
      <c r="AQ2" s="76">
        <v>0</v>
      </c>
      <c r="AR2">
        <v>1</v>
      </c>
      <c r="AS2">
        <v>0</v>
      </c>
      <c r="AT2">
        <v>0.32700000000000001</v>
      </c>
      <c r="AU2">
        <v>0.13950000000000001</v>
      </c>
      <c r="AV2">
        <v>0</v>
      </c>
      <c r="AW2">
        <v>0</v>
      </c>
      <c r="AZ2">
        <v>6.3659900000000002E-3</v>
      </c>
      <c r="BA2">
        <v>0.312</v>
      </c>
      <c r="BB2">
        <v>0</v>
      </c>
      <c r="BC2">
        <v>0</v>
      </c>
      <c r="BD2">
        <v>6.6154509999999996E-3</v>
      </c>
      <c r="BE2">
        <v>0.32700000000000001</v>
      </c>
      <c r="BF2">
        <v>0</v>
      </c>
      <c r="BG2">
        <v>0</v>
      </c>
      <c r="BH2" s="18">
        <f>IF(ISBLANK(AQ2),AJ2*'ratio of flow'!$D$1,AQ2)</f>
        <v>0</v>
      </c>
      <c r="BI2" s="18">
        <f t="shared" ref="BI2:BI15" si="0">O2*P2/100</f>
        <v>778.12980021982719</v>
      </c>
      <c r="BJ2" s="14">
        <f>IFERROR(VLOOKUP(AN2,'Scoring and Weighting'!$B$10:$C$12,2,FALSE),'Scoring and Weighting'!$C$13)</f>
        <v>80</v>
      </c>
      <c r="BK2" s="14">
        <f>VLOOKUP(BH2,'Scoring and Weighting'!$C$19:$F$23,4)</f>
        <v>30</v>
      </c>
      <c r="BL2" s="16">
        <f t="shared" ref="BL2:BL24" si="1">IF(ISBLANK(AY2),40,AY2*100)</f>
        <v>40</v>
      </c>
      <c r="BM2" s="14">
        <f>VLOOKUP('MasterGISTable with Scoring'!BI2,'Scoring and Weighting'!$C$35:$F$39,4,1)</f>
        <v>100</v>
      </c>
      <c r="BN2" s="14">
        <f t="shared" ref="BN2:BN15" si="2">IF(AND(AD2&gt;1,AQ2&gt;0,ISTEXT(AK2)),100,IF(AND(AQ2&gt;0,ISTEXT(AK2)),80,IF(AND(AD2&gt;1,ISTEXT(AK2)),60,IF(AD2&gt;1,40,20))))</f>
        <v>20</v>
      </c>
      <c r="BO2" s="15">
        <f>IFERROR(VLOOKUP(AK2,'Scoring and Weighting'!$B$63:$C$65,2,FALSE),1)</f>
        <v>1</v>
      </c>
      <c r="BP2" s="26">
        <f>BJ2*'Scoring and Weighting'!$C$55*'MasterGISTable with Scoring'!BO2</f>
        <v>20</v>
      </c>
      <c r="BQ2" s="26">
        <f>BK2*BO2*'Scoring and Weighting'!$C$56</f>
        <v>7.5</v>
      </c>
      <c r="BR2" s="26">
        <f>BO2*BL2*'Scoring and Weighting'!$C$57</f>
        <v>10</v>
      </c>
      <c r="BS2" s="26">
        <f>BO2*BM2*'Scoring and Weighting'!$C$58</f>
        <v>10</v>
      </c>
      <c r="BT2" s="26">
        <f>BO2*BN2*'Scoring and Weighting'!$C$59</f>
        <v>3</v>
      </c>
      <c r="BU2" s="24">
        <f t="shared" ref="BU2:BU24" si="3">SUM(BP2:BT2)</f>
        <v>50.5</v>
      </c>
    </row>
    <row r="3" spans="1:73" x14ac:dyDescent="0.25">
      <c r="A3" t="s">
        <v>249</v>
      </c>
      <c r="B3" t="s">
        <v>250</v>
      </c>
      <c r="C3">
        <v>96</v>
      </c>
      <c r="F3">
        <v>641</v>
      </c>
      <c r="G3" t="s">
        <v>62</v>
      </c>
      <c r="H3">
        <v>1</v>
      </c>
      <c r="I3">
        <v>0</v>
      </c>
      <c r="J3" t="s">
        <v>63</v>
      </c>
      <c r="K3" t="s">
        <v>50</v>
      </c>
      <c r="L3" s="77" t="s">
        <v>64</v>
      </c>
      <c r="M3">
        <v>43302.910212702802</v>
      </c>
      <c r="N3">
        <v>40351462.477653503</v>
      </c>
      <c r="O3">
        <v>926.34500026169906</v>
      </c>
      <c r="P3">
        <v>84</v>
      </c>
      <c r="Q3">
        <v>63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99</v>
      </c>
      <c r="AB3">
        <v>0</v>
      </c>
      <c r="AC3">
        <v>0</v>
      </c>
      <c r="AD3">
        <v>2</v>
      </c>
      <c r="AE3">
        <v>0.9</v>
      </c>
      <c r="AF3">
        <v>3.5000000000000003E-2</v>
      </c>
      <c r="AG3">
        <v>1.5</v>
      </c>
      <c r="AH3">
        <v>2.6775E-2</v>
      </c>
      <c r="AI3">
        <v>5.6099999999999997E-2</v>
      </c>
      <c r="AJ3">
        <v>4.1437500000000002E-2</v>
      </c>
      <c r="AK3" t="s">
        <v>52</v>
      </c>
      <c r="AM3" t="s">
        <v>53</v>
      </c>
      <c r="AN3" t="s">
        <v>54</v>
      </c>
      <c r="AO3" t="s">
        <v>536</v>
      </c>
      <c r="AP3">
        <v>1.8195313000000001E-2</v>
      </c>
      <c r="AQ3" s="76">
        <v>4.0000000000000001E-3</v>
      </c>
      <c r="AR3">
        <v>0.78016315999999997</v>
      </c>
      <c r="AS3">
        <v>0</v>
      </c>
      <c r="AT3">
        <v>0.19600000000000001</v>
      </c>
      <c r="AU3">
        <v>0.151</v>
      </c>
      <c r="AV3">
        <v>0</v>
      </c>
      <c r="AW3">
        <v>0</v>
      </c>
      <c r="AX3">
        <v>37.75</v>
      </c>
      <c r="AY3">
        <v>0</v>
      </c>
      <c r="AZ3">
        <v>1.6841282999999999E-2</v>
      </c>
      <c r="BA3">
        <v>0.16200000000000001</v>
      </c>
      <c r="BB3">
        <v>4.0000000000000001E-3</v>
      </c>
      <c r="BC3">
        <v>0</v>
      </c>
      <c r="BD3">
        <v>2.1053819000000001E-2</v>
      </c>
      <c r="BE3">
        <v>0.19600000000000001</v>
      </c>
      <c r="BF3">
        <v>5.0000000000000001E-3</v>
      </c>
      <c r="BG3">
        <v>0</v>
      </c>
      <c r="BH3" s="18">
        <f>IF(ISBLANK(AQ3),AJ3*'ratio of flow'!$D$1,AQ3)</f>
        <v>4.0000000000000001E-3</v>
      </c>
      <c r="BI3" s="18">
        <f t="shared" si="0"/>
        <v>778.12980021982719</v>
      </c>
      <c r="BJ3" s="14">
        <f>IFERROR(VLOOKUP(AN3,'Scoring and Weighting'!$B$10:$C$12,2,FALSE),'Scoring and Weighting'!$C$13)</f>
        <v>100</v>
      </c>
      <c r="BK3" s="14">
        <f>VLOOKUP(BH3,'Scoring and Weighting'!$C$19:$F$23,4)</f>
        <v>30</v>
      </c>
      <c r="BL3" s="16">
        <f t="shared" si="1"/>
        <v>0</v>
      </c>
      <c r="BM3" s="14">
        <f>VLOOKUP('MasterGISTable with Scoring'!BI3,'Scoring and Weighting'!$C$35:$F$39,4,1)</f>
        <v>100</v>
      </c>
      <c r="BN3" s="14">
        <f t="shared" si="2"/>
        <v>100</v>
      </c>
      <c r="BO3" s="15">
        <f>IFERROR(VLOOKUP(AK3,'Scoring and Weighting'!$B$63:$C$65,2,FALSE),1)</f>
        <v>1</v>
      </c>
      <c r="BP3" s="26">
        <f>BJ3*'Scoring and Weighting'!$C$55*'MasterGISTable with Scoring'!BO3</f>
        <v>25</v>
      </c>
      <c r="BQ3" s="26">
        <f>BK3*BO3*'Scoring and Weighting'!$C$56</f>
        <v>7.5</v>
      </c>
      <c r="BR3" s="26">
        <f>BO3*BL3*'Scoring and Weighting'!$C$57</f>
        <v>0</v>
      </c>
      <c r="BS3" s="26">
        <f>BO3*BM3*'Scoring and Weighting'!$C$58</f>
        <v>10</v>
      </c>
      <c r="BT3" s="26">
        <f>BO3*BN3*'Scoring and Weighting'!$C$59</f>
        <v>15</v>
      </c>
      <c r="BU3" s="24">
        <f t="shared" si="3"/>
        <v>57.5</v>
      </c>
    </row>
    <row r="4" spans="1:73" x14ac:dyDescent="0.25">
      <c r="A4" t="s">
        <v>548</v>
      </c>
      <c r="B4" t="s">
        <v>134</v>
      </c>
      <c r="C4">
        <v>60</v>
      </c>
      <c r="F4">
        <v>708</v>
      </c>
      <c r="G4" t="s">
        <v>109</v>
      </c>
      <c r="H4">
        <v>1</v>
      </c>
      <c r="I4">
        <v>0</v>
      </c>
      <c r="J4" t="s">
        <v>58</v>
      </c>
      <c r="K4" t="s">
        <v>50</v>
      </c>
      <c r="L4" s="77" t="s">
        <v>64</v>
      </c>
      <c r="M4">
        <v>17489.2002552429</v>
      </c>
      <c r="N4">
        <v>7479567.9569291798</v>
      </c>
      <c r="O4">
        <v>171.70778840682701</v>
      </c>
      <c r="P4">
        <v>71</v>
      </c>
      <c r="Q4">
        <v>70</v>
      </c>
      <c r="R4">
        <v>0</v>
      </c>
      <c r="S4">
        <v>0</v>
      </c>
      <c r="T4">
        <v>0</v>
      </c>
      <c r="U4">
        <v>99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</v>
      </c>
      <c r="AE4">
        <v>0.92500000000000004</v>
      </c>
      <c r="AF4">
        <v>0.06</v>
      </c>
      <c r="AG4">
        <v>1.75</v>
      </c>
      <c r="AH4">
        <v>3.8249999999999999E-2</v>
      </c>
      <c r="AI4">
        <v>0.14960000000000001</v>
      </c>
      <c r="AJ4">
        <v>9.3924999999999995E-2</v>
      </c>
      <c r="AO4" t="s">
        <v>135</v>
      </c>
      <c r="AP4">
        <v>6.6242389999999996E-3</v>
      </c>
      <c r="AQ4" s="76">
        <v>4.0000000000000001E-3</v>
      </c>
      <c r="AR4">
        <v>0.39615702899999999</v>
      </c>
      <c r="AS4">
        <v>0</v>
      </c>
      <c r="AT4">
        <v>0.10299999999999999</v>
      </c>
      <c r="AU4">
        <v>0.03</v>
      </c>
      <c r="AV4">
        <v>0</v>
      </c>
      <c r="AW4">
        <v>4.0000000000000001E-3</v>
      </c>
      <c r="AX4">
        <v>7.5</v>
      </c>
      <c r="AY4">
        <v>0</v>
      </c>
      <c r="AZ4">
        <v>6.4652030000000001E-3</v>
      </c>
      <c r="BA4">
        <v>0.10199999999999999</v>
      </c>
      <c r="BB4">
        <v>4.0000000000000001E-3</v>
      </c>
      <c r="BC4">
        <v>0</v>
      </c>
      <c r="BD4">
        <v>7.0655170000000003E-3</v>
      </c>
      <c r="BE4">
        <v>0.10299999999999999</v>
      </c>
      <c r="BF4">
        <v>4.0000000000000001E-3</v>
      </c>
      <c r="BG4">
        <v>0</v>
      </c>
      <c r="BH4" s="18">
        <f>IF(ISBLANK(AQ4),AJ4*'ratio of flow'!$D$1,AQ4)</f>
        <v>4.0000000000000001E-3</v>
      </c>
      <c r="BI4" s="18">
        <f t="shared" si="0"/>
        <v>121.91252976884718</v>
      </c>
      <c r="BJ4" s="14">
        <f>IFERROR(VLOOKUP(AN4,'Scoring and Weighting'!$B$10:$C$12,2,FALSE),'Scoring and Weighting'!$C$13)</f>
        <v>70</v>
      </c>
      <c r="BK4" s="14">
        <f>VLOOKUP(BH4,'Scoring and Weighting'!$C$19:$F$23,4)</f>
        <v>30</v>
      </c>
      <c r="BL4" s="16">
        <f t="shared" si="1"/>
        <v>0</v>
      </c>
      <c r="BM4" s="14">
        <f>VLOOKUP('MasterGISTable with Scoring'!BI4,'Scoring and Weighting'!$C$35:$F$39,4,1)</f>
        <v>30</v>
      </c>
      <c r="BN4" s="14">
        <f t="shared" si="2"/>
        <v>40</v>
      </c>
      <c r="BO4" s="15">
        <f>IFERROR(VLOOKUP(AK4,'Scoring and Weighting'!$B$63:$C$65,2,FALSE),1)</f>
        <v>1</v>
      </c>
      <c r="BP4" s="26">
        <f>BJ4*'Scoring and Weighting'!$C$55*'MasterGISTable with Scoring'!BO4</f>
        <v>17.5</v>
      </c>
      <c r="BQ4" s="26">
        <f>BK4*BO4*'Scoring and Weighting'!$C$56</f>
        <v>7.5</v>
      </c>
      <c r="BR4" s="26">
        <f>BO4*BL4*'Scoring and Weighting'!$C$57</f>
        <v>0</v>
      </c>
      <c r="BS4" s="26">
        <f>BO4*BM4*'Scoring and Weighting'!$C$58</f>
        <v>3</v>
      </c>
      <c r="BT4" s="26">
        <f>BO4*BN4*'Scoring and Weighting'!$C$59</f>
        <v>6</v>
      </c>
      <c r="BU4" s="24">
        <f t="shared" si="3"/>
        <v>34</v>
      </c>
    </row>
    <row r="5" spans="1:73" x14ac:dyDescent="0.25">
      <c r="A5" t="s">
        <v>531</v>
      </c>
      <c r="C5">
        <v>36</v>
      </c>
      <c r="F5">
        <v>15</v>
      </c>
      <c r="G5" t="s">
        <v>214</v>
      </c>
      <c r="H5">
        <v>1</v>
      </c>
      <c r="I5">
        <v>0</v>
      </c>
      <c r="J5" t="s">
        <v>179</v>
      </c>
      <c r="K5" t="s">
        <v>50</v>
      </c>
      <c r="L5" s="77" t="s">
        <v>180</v>
      </c>
      <c r="M5">
        <v>8349.5871079938897</v>
      </c>
      <c r="N5">
        <v>2870071.5464682099</v>
      </c>
      <c r="O5">
        <v>65.887981852864797</v>
      </c>
      <c r="P5">
        <v>9</v>
      </c>
      <c r="Q5">
        <v>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100</v>
      </c>
      <c r="AC5">
        <v>0</v>
      </c>
      <c r="AD5">
        <v>1</v>
      </c>
      <c r="AE5">
        <v>0.5</v>
      </c>
      <c r="AF5">
        <v>0.04</v>
      </c>
      <c r="AG5">
        <v>2.60869565217391</v>
      </c>
      <c r="AH5">
        <v>4.4347826086956997E-2</v>
      </c>
      <c r="AI5">
        <v>4.4347826086956997E-2</v>
      </c>
      <c r="AJ5">
        <v>4.4347826086956997E-2</v>
      </c>
      <c r="AK5" t="s">
        <v>52</v>
      </c>
      <c r="AM5" t="s">
        <v>53</v>
      </c>
      <c r="AN5" t="s">
        <v>54</v>
      </c>
      <c r="AO5" t="s">
        <v>538</v>
      </c>
      <c r="AP5">
        <v>1.3269372999999999E-2</v>
      </c>
      <c r="AQ5" s="76">
        <v>5.0000000000000001E-3</v>
      </c>
      <c r="AR5">
        <v>0.62319243599999996</v>
      </c>
      <c r="AS5">
        <v>0</v>
      </c>
      <c r="AT5">
        <v>0.16700000000000001</v>
      </c>
      <c r="AU5">
        <v>8.7499999999999994E-2</v>
      </c>
      <c r="AV5">
        <v>0</v>
      </c>
      <c r="AW5">
        <v>0</v>
      </c>
      <c r="AX5">
        <v>17.5</v>
      </c>
      <c r="AY5">
        <v>0</v>
      </c>
      <c r="AZ5">
        <v>1.401619E-2</v>
      </c>
      <c r="BA5">
        <v>0.16700000000000001</v>
      </c>
      <c r="BB5">
        <v>5.0000000000000001E-3</v>
      </c>
      <c r="BC5">
        <v>0</v>
      </c>
      <c r="BD5">
        <v>1.1907986000000001E-2</v>
      </c>
      <c r="BE5">
        <v>0.156</v>
      </c>
      <c r="BF5">
        <v>5.0000000000000001E-3</v>
      </c>
      <c r="BG5">
        <v>0</v>
      </c>
      <c r="BH5" s="18">
        <f>IF(ISBLANK(AQ5),AJ5*'ratio of flow'!$D$1,AQ5)</f>
        <v>5.0000000000000001E-3</v>
      </c>
      <c r="BI5" s="18">
        <f t="shared" si="0"/>
        <v>5.929918366757831</v>
      </c>
      <c r="BJ5" s="14">
        <f>IFERROR(VLOOKUP(AN5,'Scoring and Weighting'!$B$10:$C$12,2,FALSE),'Scoring and Weighting'!$C$13)</f>
        <v>100</v>
      </c>
      <c r="BK5" s="14">
        <f>VLOOKUP(BH5,'Scoring and Weighting'!$C$19:$F$23,4)</f>
        <v>30</v>
      </c>
      <c r="BL5" s="16">
        <f t="shared" si="1"/>
        <v>0</v>
      </c>
      <c r="BM5" s="14">
        <f>VLOOKUP('MasterGISTable with Scoring'!BI5,'Scoring and Weighting'!$C$35:$F$39,4,1)</f>
        <v>30</v>
      </c>
      <c r="BN5" s="14">
        <f t="shared" si="2"/>
        <v>80</v>
      </c>
      <c r="BO5" s="15">
        <f>IFERROR(VLOOKUP(AK5,'Scoring and Weighting'!$B$63:$C$65,2,FALSE),1)</f>
        <v>1</v>
      </c>
      <c r="BP5" s="26">
        <f>BJ5*'Scoring and Weighting'!$C$55*'MasterGISTable with Scoring'!BO5</f>
        <v>25</v>
      </c>
      <c r="BQ5" s="26">
        <f>BK5*BO5*'Scoring and Weighting'!$C$56</f>
        <v>7.5</v>
      </c>
      <c r="BR5" s="26">
        <f>BO5*BL5*'Scoring and Weighting'!$C$57</f>
        <v>0</v>
      </c>
      <c r="BS5" s="26">
        <f>BO5*BM5*'Scoring and Weighting'!$C$58</f>
        <v>3</v>
      </c>
      <c r="BT5" s="26">
        <f>BO5*BN5*'Scoring and Weighting'!$C$59</f>
        <v>12</v>
      </c>
      <c r="BU5" s="24">
        <f t="shared" si="3"/>
        <v>47.5</v>
      </c>
    </row>
    <row r="6" spans="1:73" x14ac:dyDescent="0.25">
      <c r="A6" t="s">
        <v>549</v>
      </c>
      <c r="B6" t="s">
        <v>89</v>
      </c>
      <c r="C6">
        <v>72</v>
      </c>
      <c r="F6">
        <v>12058</v>
      </c>
      <c r="G6" t="s">
        <v>82</v>
      </c>
      <c r="H6">
        <v>1</v>
      </c>
      <c r="I6">
        <v>0</v>
      </c>
      <c r="J6" t="s">
        <v>58</v>
      </c>
      <c r="K6" t="s">
        <v>50</v>
      </c>
      <c r="L6" s="77" t="s">
        <v>84</v>
      </c>
      <c r="M6">
        <v>18023.188275010001</v>
      </c>
      <c r="N6">
        <v>14353905.304059399</v>
      </c>
      <c r="O6">
        <v>329.52135055845798</v>
      </c>
      <c r="P6">
        <v>68</v>
      </c>
      <c r="Q6">
        <v>64</v>
      </c>
      <c r="R6">
        <v>0</v>
      </c>
      <c r="S6">
        <v>0</v>
      </c>
      <c r="T6">
        <v>0</v>
      </c>
      <c r="U6">
        <v>0</v>
      </c>
      <c r="V6">
        <v>98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</v>
      </c>
      <c r="AD6">
        <v>3</v>
      </c>
      <c r="AE6">
        <v>0.8</v>
      </c>
      <c r="AF6">
        <v>4.6666666666667002E-2</v>
      </c>
      <c r="AG6">
        <v>2.6470588235294099</v>
      </c>
      <c r="AH6">
        <v>5.0999999999999997E-2</v>
      </c>
      <c r="AI6">
        <v>0.125</v>
      </c>
      <c r="AJ6">
        <v>8.5866666666666994E-2</v>
      </c>
      <c r="AK6" t="s">
        <v>52</v>
      </c>
      <c r="AL6" t="s">
        <v>53</v>
      </c>
      <c r="AM6" t="s">
        <v>53</v>
      </c>
      <c r="AN6" t="s">
        <v>69</v>
      </c>
      <c r="AO6" t="s">
        <v>90</v>
      </c>
      <c r="AP6">
        <v>1.080297E-2</v>
      </c>
      <c r="AQ6" s="76">
        <v>8.0000000000000002E-3</v>
      </c>
      <c r="AR6">
        <v>0.25946292700000001</v>
      </c>
      <c r="AS6">
        <v>0</v>
      </c>
      <c r="AT6">
        <v>9.7000000000000003E-2</v>
      </c>
      <c r="AU6">
        <v>4.2000000000000003E-2</v>
      </c>
      <c r="AV6">
        <v>0</v>
      </c>
      <c r="AW6">
        <v>0</v>
      </c>
      <c r="AX6">
        <v>5.25</v>
      </c>
      <c r="AY6">
        <v>0</v>
      </c>
      <c r="AZ6">
        <v>1.1493767E-2</v>
      </c>
      <c r="BA6">
        <v>9.7000000000000003E-2</v>
      </c>
      <c r="BB6">
        <v>8.0000000000000002E-3</v>
      </c>
      <c r="BC6">
        <v>0</v>
      </c>
      <c r="BD6">
        <v>9.0711809999999993E-3</v>
      </c>
      <c r="BE6">
        <v>9.4E-2</v>
      </c>
      <c r="BF6">
        <v>8.0000000000000002E-3</v>
      </c>
      <c r="BG6">
        <v>0</v>
      </c>
      <c r="BH6" s="18">
        <f>IF(ISBLANK(AQ6),AJ6*'ratio of flow'!$D$1,AQ6)</f>
        <v>8.0000000000000002E-3</v>
      </c>
      <c r="BI6" s="18">
        <f t="shared" si="0"/>
        <v>224.07451837975142</v>
      </c>
      <c r="BJ6" s="14">
        <f>IFERROR(VLOOKUP(AN6,'Scoring and Weighting'!$B$10:$C$12,2,FALSE),'Scoring and Weighting'!$C$13)</f>
        <v>80</v>
      </c>
      <c r="BK6" s="14">
        <f>VLOOKUP(BH6,'Scoring and Weighting'!$C$19:$F$23,4)</f>
        <v>30</v>
      </c>
      <c r="BL6" s="16">
        <f t="shared" si="1"/>
        <v>0</v>
      </c>
      <c r="BM6" s="14">
        <f>VLOOKUP('MasterGISTable with Scoring'!BI6,'Scoring and Weighting'!$C$35:$F$39,4,1)</f>
        <v>70</v>
      </c>
      <c r="BN6" s="14">
        <f t="shared" si="2"/>
        <v>100</v>
      </c>
      <c r="BO6" s="15">
        <f>IFERROR(VLOOKUP(AK6,'Scoring and Weighting'!$B$63:$C$65,2,FALSE),1)</f>
        <v>1</v>
      </c>
      <c r="BP6" s="26">
        <f>BJ6*'Scoring and Weighting'!$C$55*'MasterGISTable with Scoring'!BO6</f>
        <v>20</v>
      </c>
      <c r="BQ6" s="26">
        <f>BK6*BO6*'Scoring and Weighting'!$C$56</f>
        <v>7.5</v>
      </c>
      <c r="BR6" s="26">
        <f>BO6*BL6*'Scoring and Weighting'!$C$57</f>
        <v>0</v>
      </c>
      <c r="BS6" s="26">
        <f>BO6*BM6*'Scoring and Weighting'!$C$58</f>
        <v>7</v>
      </c>
      <c r="BT6" s="26">
        <f>BO6*BN6*'Scoring and Weighting'!$C$59</f>
        <v>15</v>
      </c>
      <c r="BU6" s="24">
        <f t="shared" si="3"/>
        <v>49.5</v>
      </c>
    </row>
    <row r="7" spans="1:73" x14ac:dyDescent="0.25">
      <c r="A7" t="s">
        <v>253</v>
      </c>
      <c r="C7">
        <v>48</v>
      </c>
      <c r="F7">
        <v>12155</v>
      </c>
      <c r="G7" t="s">
        <v>82</v>
      </c>
      <c r="H7">
        <v>1</v>
      </c>
      <c r="I7">
        <v>0</v>
      </c>
      <c r="J7" t="s">
        <v>58</v>
      </c>
      <c r="K7" t="s">
        <v>50</v>
      </c>
      <c r="L7" s="77" t="s">
        <v>84</v>
      </c>
      <c r="M7">
        <v>14603.3699214347</v>
      </c>
      <c r="N7">
        <v>6405284.2062949203</v>
      </c>
      <c r="O7">
        <v>147.045550159241</v>
      </c>
      <c r="P7">
        <v>48</v>
      </c>
      <c r="Q7">
        <v>48</v>
      </c>
      <c r="R7">
        <v>0</v>
      </c>
      <c r="S7">
        <v>0</v>
      </c>
      <c r="T7">
        <v>0</v>
      </c>
      <c r="U7">
        <v>0</v>
      </c>
      <c r="V7">
        <v>100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0.8</v>
      </c>
      <c r="AF7">
        <v>9.5000000000000001E-2</v>
      </c>
      <c r="AG7">
        <v>1.875</v>
      </c>
      <c r="AH7">
        <v>5.0999999999999997E-2</v>
      </c>
      <c r="AI7">
        <v>0.1051875</v>
      </c>
      <c r="AJ7">
        <v>7.8093750000000003E-2</v>
      </c>
      <c r="AO7" t="s">
        <v>534</v>
      </c>
      <c r="AP7">
        <v>1.2748479E-2</v>
      </c>
      <c r="AQ7" s="76">
        <v>1.0999999999999999E-2</v>
      </c>
      <c r="AR7">
        <v>0.137151949</v>
      </c>
      <c r="AS7">
        <v>0</v>
      </c>
      <c r="AT7">
        <v>0.112</v>
      </c>
      <c r="AU7">
        <v>6.2E-2</v>
      </c>
      <c r="AV7">
        <v>0</v>
      </c>
      <c r="AW7">
        <v>4.0000000000000001E-3</v>
      </c>
      <c r="AX7">
        <v>5.6363636359999996</v>
      </c>
      <c r="AY7">
        <v>0</v>
      </c>
      <c r="AZ7">
        <v>1.2451289000000001E-2</v>
      </c>
      <c r="BA7">
        <v>8.8999999999999996E-2</v>
      </c>
      <c r="BB7">
        <v>0.01</v>
      </c>
      <c r="BC7">
        <v>0</v>
      </c>
      <c r="BD7">
        <v>1.346875E-2</v>
      </c>
      <c r="BE7">
        <v>0.112</v>
      </c>
      <c r="BF7">
        <v>1.2E-2</v>
      </c>
      <c r="BG7">
        <v>0</v>
      </c>
      <c r="BH7" s="18">
        <f>IF(ISBLANK(AQ7),AJ7*'ratio of flow'!$D$1,AQ7)</f>
        <v>1.0999999999999999E-2</v>
      </c>
      <c r="BI7" s="18">
        <f t="shared" si="0"/>
        <v>70.581864076435693</v>
      </c>
      <c r="BJ7" s="14">
        <f>IFERROR(VLOOKUP(AN7,'Scoring and Weighting'!$B$10:$C$12,2,FALSE),'Scoring and Weighting'!$C$13)</f>
        <v>70</v>
      </c>
      <c r="BK7" s="14">
        <f>VLOOKUP(BH7,'Scoring and Weighting'!$C$19:$F$23,4)</f>
        <v>30</v>
      </c>
      <c r="BL7" s="16">
        <f t="shared" si="1"/>
        <v>0</v>
      </c>
      <c r="BM7" s="14">
        <f>VLOOKUP('MasterGISTable with Scoring'!BI7,'Scoring and Weighting'!$C$35:$F$39,4,1)</f>
        <v>30</v>
      </c>
      <c r="BN7" s="14">
        <f t="shared" si="2"/>
        <v>40</v>
      </c>
      <c r="BO7" s="15">
        <f>IFERROR(VLOOKUP(AK7,'Scoring and Weighting'!$B$63:$C$65,2,FALSE),1)</f>
        <v>1</v>
      </c>
      <c r="BP7" s="26">
        <f>BJ7*'Scoring and Weighting'!$C$55*'MasterGISTable with Scoring'!BO7</f>
        <v>17.5</v>
      </c>
      <c r="BQ7" s="26">
        <f>BK7*BO7*'Scoring and Weighting'!$C$56</f>
        <v>7.5</v>
      </c>
      <c r="BR7" s="26">
        <f>BO7*BL7*'Scoring and Weighting'!$C$57</f>
        <v>0</v>
      </c>
      <c r="BS7" s="26">
        <f>BO7*BM7*'Scoring and Weighting'!$C$58</f>
        <v>3</v>
      </c>
      <c r="BT7" s="26">
        <f>BO7*BN7*'Scoring and Weighting'!$C$59</f>
        <v>6</v>
      </c>
      <c r="BU7" s="24">
        <f t="shared" si="3"/>
        <v>34</v>
      </c>
    </row>
    <row r="8" spans="1:73" x14ac:dyDescent="0.25">
      <c r="A8" t="s">
        <v>550</v>
      </c>
      <c r="B8" t="s">
        <v>92</v>
      </c>
      <c r="C8">
        <v>72</v>
      </c>
      <c r="F8">
        <v>12058</v>
      </c>
      <c r="G8" t="s">
        <v>82</v>
      </c>
      <c r="H8">
        <v>1</v>
      </c>
      <c r="I8">
        <v>0</v>
      </c>
      <c r="J8" t="s">
        <v>58</v>
      </c>
      <c r="K8" t="s">
        <v>50</v>
      </c>
      <c r="L8" s="77" t="s">
        <v>84</v>
      </c>
      <c r="M8">
        <v>16685.265945506198</v>
      </c>
      <c r="N8">
        <v>12606326.933501</v>
      </c>
      <c r="O8">
        <v>289.402346519167</v>
      </c>
      <c r="P8">
        <v>46</v>
      </c>
      <c r="Q8">
        <v>44</v>
      </c>
      <c r="R8">
        <v>0</v>
      </c>
      <c r="S8">
        <v>0</v>
      </c>
      <c r="T8">
        <v>0</v>
      </c>
      <c r="U8">
        <v>0</v>
      </c>
      <c r="V8">
        <v>97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</v>
      </c>
      <c r="AD8">
        <v>3</v>
      </c>
      <c r="AE8">
        <v>0.56999999999999995</v>
      </c>
      <c r="AF8">
        <v>4.3333333333333002E-2</v>
      </c>
      <c r="AG8">
        <v>1.5</v>
      </c>
      <c r="AH8">
        <v>1.5299999999999999E-2</v>
      </c>
      <c r="AI8">
        <v>5.0999999999999997E-2</v>
      </c>
      <c r="AJ8">
        <v>3.2937500000000001E-2</v>
      </c>
      <c r="AK8" t="s">
        <v>52</v>
      </c>
      <c r="AL8" t="s">
        <v>53</v>
      </c>
      <c r="AM8" t="s">
        <v>53</v>
      </c>
      <c r="AN8" t="s">
        <v>114</v>
      </c>
      <c r="AO8" t="s">
        <v>90</v>
      </c>
      <c r="AP8">
        <v>2.6951732999999999E-2</v>
      </c>
      <c r="AQ8" s="76">
        <v>1.2999999999999999E-2</v>
      </c>
      <c r="AR8">
        <v>0.51765624300000002</v>
      </c>
      <c r="AS8">
        <v>0</v>
      </c>
      <c r="AT8">
        <v>0.434</v>
      </c>
      <c r="AU8">
        <v>0.13800000000000001</v>
      </c>
      <c r="AV8">
        <v>0</v>
      </c>
      <c r="AW8">
        <v>0</v>
      </c>
      <c r="AX8">
        <v>10.61538462</v>
      </c>
      <c r="AY8">
        <v>0</v>
      </c>
      <c r="AZ8">
        <v>2.8715028E-2</v>
      </c>
      <c r="BA8">
        <v>0.34300000000000003</v>
      </c>
      <c r="BB8">
        <v>1.4999999999999999E-2</v>
      </c>
      <c r="BC8">
        <v>0</v>
      </c>
      <c r="BD8">
        <v>2.2531249999999999E-2</v>
      </c>
      <c r="BE8">
        <v>0.434</v>
      </c>
      <c r="BF8">
        <v>7.0000000000000001E-3</v>
      </c>
      <c r="BG8">
        <v>0</v>
      </c>
      <c r="BH8" s="18">
        <f>IF(ISBLANK(AQ8),AJ8*'ratio of flow'!$D$1,AQ8)</f>
        <v>1.2999999999999999E-2</v>
      </c>
      <c r="BI8" s="18">
        <f t="shared" si="0"/>
        <v>133.12507939881681</v>
      </c>
      <c r="BJ8" s="14">
        <f>IFERROR(VLOOKUP(AN8,'Scoring and Weighting'!$B$10:$C$12,2,FALSE),'Scoring and Weighting'!$C$13)</f>
        <v>60</v>
      </c>
      <c r="BK8" s="14">
        <f>VLOOKUP(BH8,'Scoring and Weighting'!$C$19:$F$23,4)</f>
        <v>30</v>
      </c>
      <c r="BL8" s="16">
        <f t="shared" si="1"/>
        <v>0</v>
      </c>
      <c r="BM8" s="14">
        <f>VLOOKUP('MasterGISTable with Scoring'!BI8,'Scoring and Weighting'!$C$35:$F$39,4,1)</f>
        <v>50</v>
      </c>
      <c r="BN8" s="14">
        <f t="shared" si="2"/>
        <v>100</v>
      </c>
      <c r="BO8" s="15">
        <f>IFERROR(VLOOKUP(AK8,'Scoring and Weighting'!$B$63:$C$65,2,FALSE),1)</f>
        <v>1</v>
      </c>
      <c r="BP8" s="26">
        <f>BJ8*'Scoring and Weighting'!$C$55*'MasterGISTable with Scoring'!BO8</f>
        <v>15</v>
      </c>
      <c r="BQ8" s="26">
        <f>BK8*BO8*'Scoring and Weighting'!$C$56</f>
        <v>7.5</v>
      </c>
      <c r="BR8" s="26">
        <f>BO8*BL8*'Scoring and Weighting'!$C$57</f>
        <v>0</v>
      </c>
      <c r="BS8" s="26">
        <f>BO8*BM8*'Scoring and Weighting'!$C$58</f>
        <v>5</v>
      </c>
      <c r="BT8" s="26">
        <f>BO8*BN8*'Scoring and Weighting'!$C$59</f>
        <v>15</v>
      </c>
      <c r="BU8" s="24">
        <f t="shared" si="3"/>
        <v>42.5</v>
      </c>
    </row>
    <row r="9" spans="1:73" x14ac:dyDescent="0.25">
      <c r="A9" t="s">
        <v>551</v>
      </c>
      <c r="B9" t="s">
        <v>94</v>
      </c>
      <c r="C9">
        <v>96</v>
      </c>
      <c r="F9">
        <v>724</v>
      </c>
      <c r="G9" t="s">
        <v>95</v>
      </c>
      <c r="H9">
        <v>1</v>
      </c>
      <c r="I9">
        <v>0</v>
      </c>
      <c r="J9" t="s">
        <v>96</v>
      </c>
      <c r="K9" t="s">
        <v>50</v>
      </c>
      <c r="L9" s="77" t="s">
        <v>64</v>
      </c>
      <c r="M9">
        <v>25255.889853356101</v>
      </c>
      <c r="N9">
        <v>15901177.490108101</v>
      </c>
      <c r="O9">
        <v>365.04194301242501</v>
      </c>
      <c r="P9">
        <v>66</v>
      </c>
      <c r="Q9">
        <v>55</v>
      </c>
      <c r="R9">
        <v>0</v>
      </c>
      <c r="S9">
        <v>0</v>
      </c>
      <c r="T9">
        <v>0</v>
      </c>
      <c r="U9">
        <v>0</v>
      </c>
      <c r="V9">
        <v>27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73</v>
      </c>
      <c r="AD9">
        <v>2</v>
      </c>
      <c r="AE9">
        <v>0.92500000000000004</v>
      </c>
      <c r="AF9">
        <v>4.2500000000000003E-2</v>
      </c>
      <c r="AG9">
        <v>1.35</v>
      </c>
      <c r="AH9">
        <v>3.0345E-2</v>
      </c>
      <c r="AI9">
        <v>6.3750000000000001E-2</v>
      </c>
      <c r="AJ9">
        <v>4.7047499999999999E-2</v>
      </c>
      <c r="AO9" t="s">
        <v>97</v>
      </c>
      <c r="AP9">
        <v>2.6163539E-2</v>
      </c>
      <c r="AQ9" s="76">
        <v>1.6E-2</v>
      </c>
      <c r="AR9">
        <v>0.38846193299999998</v>
      </c>
      <c r="AS9">
        <v>0</v>
      </c>
      <c r="AT9">
        <v>0.372</v>
      </c>
      <c r="AU9">
        <v>3.2000000000000001E-2</v>
      </c>
      <c r="AV9">
        <v>1E-3</v>
      </c>
      <c r="AW9">
        <v>1.2999999999999999E-2</v>
      </c>
      <c r="AX9">
        <v>2</v>
      </c>
      <c r="AY9">
        <v>6.25E-2</v>
      </c>
      <c r="AZ9">
        <v>1.5558011E-2</v>
      </c>
      <c r="BA9">
        <v>3.7999999999999999E-2</v>
      </c>
      <c r="BB9">
        <v>1.6E-2</v>
      </c>
      <c r="BC9">
        <v>0</v>
      </c>
      <c r="BD9">
        <v>3.6161458E-2</v>
      </c>
      <c r="BE9">
        <v>0.372</v>
      </c>
      <c r="BF9">
        <v>1.6E-2</v>
      </c>
      <c r="BG9">
        <v>0</v>
      </c>
      <c r="BH9" s="18">
        <f>IF(ISBLANK(AQ9),AJ9*'ratio of flow'!$D$1,AQ9)</f>
        <v>1.6E-2</v>
      </c>
      <c r="BI9" s="18">
        <f t="shared" si="0"/>
        <v>240.92768238820051</v>
      </c>
      <c r="BJ9" s="14">
        <f>IFERROR(VLOOKUP(AN9,'Scoring and Weighting'!$B$10:$C$12,2,FALSE),'Scoring and Weighting'!$C$13)</f>
        <v>70</v>
      </c>
      <c r="BK9" s="14">
        <f>VLOOKUP(BH9,'Scoring and Weighting'!$C$19:$F$23,4)</f>
        <v>50</v>
      </c>
      <c r="BL9" s="16">
        <f t="shared" si="1"/>
        <v>6.25</v>
      </c>
      <c r="BM9" s="14">
        <f>VLOOKUP('MasterGISTable with Scoring'!BI9,'Scoring and Weighting'!$C$35:$F$39,4,1)</f>
        <v>70</v>
      </c>
      <c r="BN9" s="14">
        <f t="shared" si="2"/>
        <v>40</v>
      </c>
      <c r="BO9" s="15">
        <f>IFERROR(VLOOKUP(AK9,'Scoring and Weighting'!$B$63:$C$65,2,FALSE),1)</f>
        <v>1</v>
      </c>
      <c r="BP9" s="26">
        <f>BJ9*'Scoring and Weighting'!$C$55*'MasterGISTable with Scoring'!BO9</f>
        <v>17.5</v>
      </c>
      <c r="BQ9" s="26">
        <f>BK9*BO9*'Scoring and Weighting'!$C$56</f>
        <v>12.5</v>
      </c>
      <c r="BR9" s="26">
        <f>BO9*BL9*'Scoring and Weighting'!$C$57</f>
        <v>1.5625</v>
      </c>
      <c r="BS9" s="26">
        <f>BO9*BM9*'Scoring and Weighting'!$C$58</f>
        <v>7</v>
      </c>
      <c r="BT9" s="26">
        <f>BO9*BN9*'Scoring and Weighting'!$C$59</f>
        <v>6</v>
      </c>
      <c r="BU9" s="24">
        <f t="shared" si="3"/>
        <v>44.5625</v>
      </c>
    </row>
    <row r="10" spans="1:73" x14ac:dyDescent="0.25">
      <c r="A10" t="s">
        <v>123</v>
      </c>
      <c r="C10">
        <v>84</v>
      </c>
      <c r="F10">
        <v>141</v>
      </c>
      <c r="G10" t="s">
        <v>109</v>
      </c>
      <c r="H10">
        <v>1</v>
      </c>
      <c r="I10">
        <v>0</v>
      </c>
      <c r="J10" t="s">
        <v>103</v>
      </c>
      <c r="K10" t="s">
        <v>50</v>
      </c>
      <c r="L10" s="77" t="s">
        <v>64</v>
      </c>
      <c r="M10">
        <v>38367.529706358</v>
      </c>
      <c r="N10">
        <v>37305715.486433402</v>
      </c>
      <c r="O10">
        <v>856.42405256516099</v>
      </c>
      <c r="P10">
        <v>24</v>
      </c>
      <c r="Q10">
        <v>12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27</v>
      </c>
      <c r="Z10">
        <v>39</v>
      </c>
      <c r="AA10">
        <v>34</v>
      </c>
      <c r="AB10">
        <v>0</v>
      </c>
      <c r="AC10">
        <v>0</v>
      </c>
      <c r="AD10">
        <v>2</v>
      </c>
      <c r="AE10">
        <v>1.05</v>
      </c>
      <c r="AF10">
        <v>0.06</v>
      </c>
      <c r="AG10">
        <v>0.24620060790273601</v>
      </c>
      <c r="AH10">
        <v>4.3714285714289997E-3</v>
      </c>
      <c r="AI10">
        <v>8.3010638297870004E-3</v>
      </c>
      <c r="AJ10">
        <v>6.3362462006080001E-3</v>
      </c>
      <c r="AK10" t="s">
        <v>52</v>
      </c>
      <c r="AM10" t="s">
        <v>53</v>
      </c>
      <c r="AN10" t="s">
        <v>54</v>
      </c>
      <c r="AO10" t="s">
        <v>124</v>
      </c>
      <c r="AP10">
        <v>2.0824537000000001E-2</v>
      </c>
      <c r="AQ10" s="76">
        <v>1.6E-2</v>
      </c>
      <c r="AR10">
        <v>0.23167560800000001</v>
      </c>
      <c r="AS10">
        <v>0</v>
      </c>
      <c r="AT10">
        <v>0.254</v>
      </c>
      <c r="AU10">
        <v>7.5999999999999998E-2</v>
      </c>
      <c r="AV10">
        <v>3.0000000000000001E-3</v>
      </c>
      <c r="AW10">
        <v>1.2E-2</v>
      </c>
      <c r="AX10">
        <v>4.75</v>
      </c>
      <c r="AY10">
        <v>0.1875</v>
      </c>
      <c r="AZ10">
        <v>2.0912666E-2</v>
      </c>
      <c r="BA10">
        <v>0.254</v>
      </c>
      <c r="BB10">
        <v>1.6E-2</v>
      </c>
      <c r="BC10">
        <v>0</v>
      </c>
      <c r="BD10">
        <v>2.0644791999999999E-2</v>
      </c>
      <c r="BE10">
        <v>0.158</v>
      </c>
      <c r="BF10">
        <v>1.7999999999999999E-2</v>
      </c>
      <c r="BG10">
        <v>0</v>
      </c>
      <c r="BH10" s="18">
        <f>IF(ISBLANK(AQ10),AJ10*'ratio of flow'!$D$1,AQ10)</f>
        <v>1.6E-2</v>
      </c>
      <c r="BI10" s="18">
        <f t="shared" si="0"/>
        <v>205.54177261563862</v>
      </c>
      <c r="BJ10" s="14">
        <f>IFERROR(VLOOKUP(AN10,'Scoring and Weighting'!$B$10:$C$12,2,FALSE),'Scoring and Weighting'!$C$13)</f>
        <v>100</v>
      </c>
      <c r="BK10" s="14">
        <f>VLOOKUP(BH10,'Scoring and Weighting'!$C$19:$F$23,4)</f>
        <v>50</v>
      </c>
      <c r="BL10" s="16">
        <f t="shared" si="1"/>
        <v>18.75</v>
      </c>
      <c r="BM10" s="14">
        <f>VLOOKUP('MasterGISTable with Scoring'!BI10,'Scoring and Weighting'!$C$35:$F$39,4,1)</f>
        <v>50</v>
      </c>
      <c r="BN10" s="14">
        <f t="shared" si="2"/>
        <v>100</v>
      </c>
      <c r="BO10" s="15">
        <f>IFERROR(VLOOKUP(AK10,'Scoring and Weighting'!$B$63:$C$65,2,FALSE),1)</f>
        <v>1</v>
      </c>
      <c r="BP10" s="26">
        <f>BJ10*'Scoring and Weighting'!$C$55*'MasterGISTable with Scoring'!BO10</f>
        <v>25</v>
      </c>
      <c r="BQ10" s="26">
        <f>BK10*BO10*'Scoring and Weighting'!$C$56</f>
        <v>12.5</v>
      </c>
      <c r="BR10" s="26">
        <f>BO10*BL10*'Scoring and Weighting'!$C$57</f>
        <v>4.6875</v>
      </c>
      <c r="BS10" s="26">
        <f>BO10*BM10*'Scoring and Weighting'!$C$58</f>
        <v>5</v>
      </c>
      <c r="BT10" s="26">
        <f>BO10*BN10*'Scoring and Weighting'!$C$59</f>
        <v>15</v>
      </c>
      <c r="BU10" s="24">
        <f t="shared" si="3"/>
        <v>62.1875</v>
      </c>
    </row>
    <row r="11" spans="1:73" x14ac:dyDescent="0.25">
      <c r="A11" t="s">
        <v>552</v>
      </c>
      <c r="B11" t="s">
        <v>72</v>
      </c>
      <c r="C11">
        <v>66</v>
      </c>
      <c r="F11">
        <v>640</v>
      </c>
      <c r="G11" t="s">
        <v>62</v>
      </c>
      <c r="H11">
        <v>1</v>
      </c>
      <c r="I11">
        <v>0</v>
      </c>
      <c r="J11" t="s">
        <v>63</v>
      </c>
      <c r="K11" t="s">
        <v>50</v>
      </c>
      <c r="L11" s="77" t="s">
        <v>64</v>
      </c>
      <c r="M11">
        <v>15443.3881386796</v>
      </c>
      <c r="N11">
        <v>9932960.3262872808</v>
      </c>
      <c r="O11">
        <v>228.030102778795</v>
      </c>
      <c r="P11">
        <v>95</v>
      </c>
      <c r="Q11">
        <v>86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100</v>
      </c>
      <c r="AB11">
        <v>0</v>
      </c>
      <c r="AC11">
        <v>0</v>
      </c>
      <c r="AD11">
        <v>2</v>
      </c>
      <c r="AE11">
        <v>0.97499999999999998</v>
      </c>
      <c r="AF11">
        <v>0.08</v>
      </c>
      <c r="AG11">
        <v>0.75</v>
      </c>
      <c r="AH11">
        <v>2.9006250000000001E-2</v>
      </c>
      <c r="AI11">
        <v>7.4587500000000001E-2</v>
      </c>
      <c r="AJ11">
        <v>5.1796874999999999E-2</v>
      </c>
      <c r="AK11" t="s">
        <v>52</v>
      </c>
      <c r="AL11" t="s">
        <v>53</v>
      </c>
      <c r="AM11" t="s">
        <v>53</v>
      </c>
      <c r="AN11" t="s">
        <v>69</v>
      </c>
      <c r="AO11" t="s">
        <v>73</v>
      </c>
      <c r="AP11">
        <v>2.7654410000000001E-2</v>
      </c>
      <c r="AQ11" s="76">
        <v>2.7E-2</v>
      </c>
      <c r="AR11">
        <v>2.366385E-2</v>
      </c>
      <c r="AS11">
        <v>7.0000000000000001E-3</v>
      </c>
      <c r="AT11">
        <v>6.7000000000000004E-2</v>
      </c>
      <c r="AU11">
        <v>5.0999999999999997E-2</v>
      </c>
      <c r="AV11">
        <v>1.7999999999999999E-2</v>
      </c>
      <c r="AW11">
        <v>2.4E-2</v>
      </c>
      <c r="AX11">
        <v>1.888888889</v>
      </c>
      <c r="AY11">
        <v>0.66666666699999999</v>
      </c>
      <c r="AZ11">
        <v>2.7839789E-2</v>
      </c>
      <c r="BA11">
        <v>6.7000000000000004E-2</v>
      </c>
      <c r="BB11">
        <v>2.8000000000000001E-2</v>
      </c>
      <c r="BC11">
        <v>7.0000000000000001E-3</v>
      </c>
      <c r="BD11">
        <v>2.7203839E-2</v>
      </c>
      <c r="BE11">
        <v>6.0999999999999999E-2</v>
      </c>
      <c r="BF11">
        <v>2.5999999999999999E-2</v>
      </c>
      <c r="BG11">
        <v>1.0999999999999999E-2</v>
      </c>
      <c r="BH11" s="18">
        <f>IF(ISBLANK(AQ11),AJ11*'ratio of flow'!$D$1,AQ11)</f>
        <v>2.7E-2</v>
      </c>
      <c r="BI11" s="18">
        <f t="shared" si="0"/>
        <v>216.62859763985526</v>
      </c>
      <c r="BJ11" s="14">
        <f>IFERROR(VLOOKUP(AN11,'Scoring and Weighting'!$B$10:$C$12,2,FALSE),'Scoring and Weighting'!$C$13)</f>
        <v>80</v>
      </c>
      <c r="BK11" s="14">
        <f>VLOOKUP(BH11,'Scoring and Weighting'!$C$19:$F$23,4)</f>
        <v>50</v>
      </c>
      <c r="BL11" s="16">
        <f t="shared" si="1"/>
        <v>66.666666699999993</v>
      </c>
      <c r="BM11" s="14">
        <f>VLOOKUP('MasterGISTable with Scoring'!BI11,'Scoring and Weighting'!$C$35:$F$39,4,1)</f>
        <v>50</v>
      </c>
      <c r="BN11" s="14">
        <f t="shared" si="2"/>
        <v>100</v>
      </c>
      <c r="BO11" s="15">
        <f>IFERROR(VLOOKUP(AK11,'Scoring and Weighting'!$B$63:$C$65,2,FALSE),1)</f>
        <v>1</v>
      </c>
      <c r="BP11" s="26">
        <f>BJ11*'Scoring and Weighting'!$C$55*'MasterGISTable with Scoring'!BO11</f>
        <v>20</v>
      </c>
      <c r="BQ11" s="26">
        <f>BK11*BO11*'Scoring and Weighting'!$C$56</f>
        <v>12.5</v>
      </c>
      <c r="BR11" s="26">
        <f>BO11*BL11*'Scoring and Weighting'!$C$57</f>
        <v>16.666666674999998</v>
      </c>
      <c r="BS11" s="26">
        <f>BO11*BM11*'Scoring and Weighting'!$C$58</f>
        <v>5</v>
      </c>
      <c r="BT11" s="26">
        <f>BO11*BN11*'Scoring and Weighting'!$C$59</f>
        <v>15</v>
      </c>
      <c r="BU11" s="24">
        <f t="shared" si="3"/>
        <v>69.166666675000002</v>
      </c>
    </row>
    <row r="12" spans="1:73" x14ac:dyDescent="0.25">
      <c r="A12" t="s">
        <v>553</v>
      </c>
      <c r="B12" t="s">
        <v>118</v>
      </c>
      <c r="C12">
        <v>60</v>
      </c>
      <c r="F12">
        <v>662</v>
      </c>
      <c r="G12" t="s">
        <v>109</v>
      </c>
      <c r="H12">
        <v>1</v>
      </c>
      <c r="I12">
        <v>0</v>
      </c>
      <c r="J12" t="s">
        <v>103</v>
      </c>
      <c r="K12" t="s">
        <v>50</v>
      </c>
      <c r="L12" s="77" t="s">
        <v>64</v>
      </c>
      <c r="M12">
        <v>31558.079220043601</v>
      </c>
      <c r="N12">
        <v>20345404.107941199</v>
      </c>
      <c r="O12">
        <v>467.067665369812</v>
      </c>
      <c r="P12">
        <v>67</v>
      </c>
      <c r="Q12">
        <v>63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100</v>
      </c>
      <c r="Z12">
        <v>0</v>
      </c>
      <c r="AA12">
        <v>0</v>
      </c>
      <c r="AB12">
        <v>0</v>
      </c>
      <c r="AC12">
        <v>0</v>
      </c>
      <c r="AD12">
        <v>2</v>
      </c>
      <c r="AE12">
        <v>0.95</v>
      </c>
      <c r="AF12">
        <v>0.05</v>
      </c>
      <c r="AG12">
        <v>1.6875</v>
      </c>
      <c r="AH12">
        <v>5.7375000000000002E-2</v>
      </c>
      <c r="AI12">
        <v>7.6499999999999999E-2</v>
      </c>
      <c r="AJ12">
        <v>6.6937499999999997E-2</v>
      </c>
      <c r="AK12" t="s">
        <v>52</v>
      </c>
      <c r="AM12" t="s">
        <v>53</v>
      </c>
      <c r="AN12" t="s">
        <v>54</v>
      </c>
      <c r="AO12" t="s">
        <v>119</v>
      </c>
      <c r="AP12">
        <v>4.1715336999999998E-2</v>
      </c>
      <c r="AQ12" s="76">
        <v>3.6999999999999998E-2</v>
      </c>
      <c r="AR12">
        <v>0.11303606099999999</v>
      </c>
      <c r="AS12">
        <v>0</v>
      </c>
      <c r="AT12">
        <v>0.125</v>
      </c>
      <c r="AU12">
        <v>9.1999999999999998E-2</v>
      </c>
      <c r="AV12">
        <v>1.4999999999999999E-2</v>
      </c>
      <c r="AW12">
        <v>2.5000000000000001E-2</v>
      </c>
      <c r="AX12">
        <v>2.486486486</v>
      </c>
      <c r="AY12">
        <v>0.405405405</v>
      </c>
      <c r="AZ12">
        <v>4.5379564999999997E-2</v>
      </c>
      <c r="BA12">
        <v>0.125</v>
      </c>
      <c r="BB12">
        <v>0.04</v>
      </c>
      <c r="BC12">
        <v>0</v>
      </c>
      <c r="BD12">
        <v>3.2936458000000002E-2</v>
      </c>
      <c r="BE12">
        <v>0.1</v>
      </c>
      <c r="BF12">
        <v>3.2000000000000001E-2</v>
      </c>
      <c r="BG12">
        <v>1.2999999999999999E-2</v>
      </c>
      <c r="BH12" s="18">
        <f>IF(ISBLANK(AQ12),AJ12*'ratio of flow'!$D$1,AQ12)</f>
        <v>3.6999999999999998E-2</v>
      </c>
      <c r="BI12" s="18">
        <f t="shared" si="0"/>
        <v>312.93533579777409</v>
      </c>
      <c r="BJ12" s="14">
        <f>IFERROR(VLOOKUP(AN12,'Scoring and Weighting'!$B$10:$C$12,2,FALSE),'Scoring and Weighting'!$C$13)</f>
        <v>100</v>
      </c>
      <c r="BK12" s="14">
        <f>VLOOKUP(BH12,'Scoring and Weighting'!$C$19:$F$23,4)</f>
        <v>50</v>
      </c>
      <c r="BL12" s="16">
        <f t="shared" si="1"/>
        <v>40.540540499999999</v>
      </c>
      <c r="BM12" s="14">
        <f>VLOOKUP('MasterGISTable with Scoring'!BI12,'Scoring and Weighting'!$C$35:$F$39,4,1)</f>
        <v>70</v>
      </c>
      <c r="BN12" s="14">
        <f t="shared" si="2"/>
        <v>100</v>
      </c>
      <c r="BO12" s="15">
        <f>IFERROR(VLOOKUP(AK12,'Scoring and Weighting'!$B$63:$C$65,2,FALSE),1)</f>
        <v>1</v>
      </c>
      <c r="BP12" s="26">
        <f>BJ12*'Scoring and Weighting'!$C$55*'MasterGISTable with Scoring'!BO12</f>
        <v>25</v>
      </c>
      <c r="BQ12" s="26">
        <f>BK12*BO12*'Scoring and Weighting'!$C$56</f>
        <v>12.5</v>
      </c>
      <c r="BR12" s="26">
        <f>BO12*BL12*'Scoring and Weighting'!$C$57</f>
        <v>10.135135125</v>
      </c>
      <c r="BS12" s="26">
        <f>BO12*BM12*'Scoring and Weighting'!$C$58</f>
        <v>7</v>
      </c>
      <c r="BT12" s="26">
        <f>BO12*BN12*'Scoring and Weighting'!$C$59</f>
        <v>15</v>
      </c>
      <c r="BU12" s="24">
        <f t="shared" si="3"/>
        <v>69.635135125000005</v>
      </c>
    </row>
    <row r="13" spans="1:73" x14ac:dyDescent="0.25">
      <c r="A13" t="s">
        <v>554</v>
      </c>
      <c r="B13" t="s">
        <v>61</v>
      </c>
      <c r="C13">
        <v>90</v>
      </c>
      <c r="F13">
        <v>166</v>
      </c>
      <c r="G13" t="s">
        <v>62</v>
      </c>
      <c r="H13">
        <v>1</v>
      </c>
      <c r="I13">
        <v>0</v>
      </c>
      <c r="J13" t="s">
        <v>63</v>
      </c>
      <c r="K13" t="s">
        <v>50</v>
      </c>
      <c r="L13" s="77" t="s">
        <v>64</v>
      </c>
      <c r="M13">
        <v>24414.986770187199</v>
      </c>
      <c r="N13">
        <v>16057343.476462699</v>
      </c>
      <c r="O13">
        <v>368.62703192340501</v>
      </c>
      <c r="P13">
        <v>88</v>
      </c>
      <c r="Q13">
        <v>87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33</v>
      </c>
      <c r="Z13">
        <v>0</v>
      </c>
      <c r="AA13">
        <v>67</v>
      </c>
      <c r="AB13">
        <v>0</v>
      </c>
      <c r="AC13">
        <v>0</v>
      </c>
      <c r="AD13">
        <v>1</v>
      </c>
      <c r="AE13">
        <v>1.54</v>
      </c>
      <c r="AF13">
        <v>0.06</v>
      </c>
      <c r="AG13">
        <v>1</v>
      </c>
      <c r="AH13">
        <v>7.8539999999999999E-2</v>
      </c>
      <c r="AI13">
        <v>7.8539999999999999E-2</v>
      </c>
      <c r="AJ13">
        <v>7.8539999999999999E-2</v>
      </c>
      <c r="AO13" t="s">
        <v>65</v>
      </c>
      <c r="AP13">
        <v>5.2055789999999998E-2</v>
      </c>
      <c r="AQ13" s="76">
        <v>0.05</v>
      </c>
      <c r="AR13">
        <v>3.9492054999999998E-2</v>
      </c>
      <c r="AS13">
        <v>4.0000000000000001E-3</v>
      </c>
      <c r="AT13">
        <v>0.44</v>
      </c>
      <c r="AU13">
        <v>0.11899999999999999</v>
      </c>
      <c r="AV13">
        <v>1.2999999999999999E-2</v>
      </c>
      <c r="AW13">
        <v>6.6000000000000003E-2</v>
      </c>
      <c r="AX13">
        <v>2.38</v>
      </c>
      <c r="AY13">
        <v>0.26</v>
      </c>
      <c r="AZ13">
        <v>5.1021258999999999E-2</v>
      </c>
      <c r="BA13">
        <v>0.44</v>
      </c>
      <c r="BB13">
        <v>0.05</v>
      </c>
      <c r="BC13">
        <v>4.0000000000000001E-3</v>
      </c>
      <c r="BD13">
        <v>5.4964368E-2</v>
      </c>
      <c r="BE13">
        <v>0.4</v>
      </c>
      <c r="BF13">
        <v>5.0999999999999997E-2</v>
      </c>
      <c r="BG13">
        <v>5.0000000000000001E-3</v>
      </c>
      <c r="BH13" s="18">
        <f>IF(ISBLANK(AQ13),AJ13*'ratio of flow'!$D$1,AQ13)</f>
        <v>0.05</v>
      </c>
      <c r="BI13" s="18">
        <f t="shared" si="0"/>
        <v>324.39178809259641</v>
      </c>
      <c r="BJ13" s="14">
        <f>IFERROR(VLOOKUP(AN13,'Scoring and Weighting'!$B$10:$C$12,2,FALSE),'Scoring and Weighting'!$C$13)</f>
        <v>70</v>
      </c>
      <c r="BK13" s="14">
        <f>VLOOKUP(BH13,'Scoring and Weighting'!$C$19:$F$23,4)</f>
        <v>70</v>
      </c>
      <c r="BL13" s="16">
        <f t="shared" si="1"/>
        <v>26</v>
      </c>
      <c r="BM13" s="14">
        <f>VLOOKUP('MasterGISTable with Scoring'!BI13,'Scoring and Weighting'!$C$35:$F$39,4,1)</f>
        <v>70</v>
      </c>
      <c r="BN13" s="14">
        <f t="shared" si="2"/>
        <v>20</v>
      </c>
      <c r="BO13" s="15">
        <f>IFERROR(VLOOKUP(AK13,'Scoring and Weighting'!$B$63:$C$65,2,FALSE),1)</f>
        <v>1</v>
      </c>
      <c r="BP13" s="26">
        <f>BJ13*'Scoring and Weighting'!$C$55*'MasterGISTable with Scoring'!BO13</f>
        <v>17.5</v>
      </c>
      <c r="BQ13" s="26">
        <f>BK13*BO13*'Scoring and Weighting'!$C$56</f>
        <v>17.5</v>
      </c>
      <c r="BR13" s="26">
        <f>BO13*BL13*'Scoring and Weighting'!$C$57</f>
        <v>6.5</v>
      </c>
      <c r="BS13" s="26">
        <f>BO13*BM13*'Scoring and Weighting'!$C$58</f>
        <v>7</v>
      </c>
      <c r="BT13" s="26">
        <f>BO13*BN13*'Scoring and Weighting'!$C$59</f>
        <v>3</v>
      </c>
      <c r="BU13" s="24">
        <f t="shared" si="3"/>
        <v>51.5</v>
      </c>
    </row>
    <row r="14" spans="1:73" x14ac:dyDescent="0.25">
      <c r="A14" t="s">
        <v>555</v>
      </c>
      <c r="B14" t="s">
        <v>213</v>
      </c>
      <c r="C14">
        <v>48</v>
      </c>
      <c r="F14">
        <v>85</v>
      </c>
      <c r="G14" t="s">
        <v>214</v>
      </c>
      <c r="H14">
        <v>1</v>
      </c>
      <c r="I14">
        <v>0</v>
      </c>
      <c r="J14" t="s">
        <v>179</v>
      </c>
      <c r="K14" t="s">
        <v>50</v>
      </c>
      <c r="L14" t="s">
        <v>180</v>
      </c>
      <c r="M14">
        <v>22182.308562730799</v>
      </c>
      <c r="N14">
        <v>16230277.496748401</v>
      </c>
      <c r="O14">
        <v>372.59706312501299</v>
      </c>
      <c r="P14">
        <v>50</v>
      </c>
      <c r="Q14">
        <v>48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100</v>
      </c>
      <c r="AC14">
        <v>0</v>
      </c>
      <c r="AD14">
        <v>2</v>
      </c>
      <c r="AE14">
        <v>0.6</v>
      </c>
      <c r="AF14">
        <v>3.7499999999999999E-2</v>
      </c>
      <c r="AG14">
        <v>1.6666666666666601</v>
      </c>
      <c r="AH14">
        <v>2.7199999999999998E-2</v>
      </c>
      <c r="AI14">
        <v>3.5700000000000003E-2</v>
      </c>
      <c r="AJ14">
        <v>3.1449999999999999E-2</v>
      </c>
      <c r="AK14" t="s">
        <v>52</v>
      </c>
      <c r="AL14" t="s">
        <v>53</v>
      </c>
      <c r="AM14" t="s">
        <v>53</v>
      </c>
      <c r="AN14" t="s">
        <v>69</v>
      </c>
      <c r="AO14" t="s">
        <v>540</v>
      </c>
      <c r="AP14">
        <v>5.6779574999999999E-2</v>
      </c>
      <c r="AQ14" s="76">
        <v>0.05</v>
      </c>
      <c r="AR14">
        <v>0.11940165599999999</v>
      </c>
      <c r="AS14">
        <v>0</v>
      </c>
      <c r="AT14">
        <v>0.23599999999999999</v>
      </c>
      <c r="AU14">
        <v>0.13800000000000001</v>
      </c>
      <c r="AV14">
        <v>1.2999999999999999E-2</v>
      </c>
      <c r="AW14">
        <v>0.04</v>
      </c>
      <c r="AX14">
        <v>2.76</v>
      </c>
      <c r="AY14">
        <v>0.26</v>
      </c>
      <c r="AZ14">
        <v>5.8271755000000001E-2</v>
      </c>
      <c r="BA14">
        <v>0.22</v>
      </c>
      <c r="BB14">
        <v>5.1999999999999998E-2</v>
      </c>
      <c r="BC14">
        <v>0</v>
      </c>
      <c r="BD14">
        <v>5.3147568999999999E-2</v>
      </c>
      <c r="BE14">
        <v>0.23599999999999999</v>
      </c>
      <c r="BF14">
        <v>4.8000000000000001E-2</v>
      </c>
      <c r="BG14">
        <v>3.0000000000000001E-3</v>
      </c>
      <c r="BH14" s="18">
        <f>IF(ISBLANK(AQ14),AJ14*'ratio of flow'!$D$1,AQ14)</f>
        <v>0.05</v>
      </c>
      <c r="BI14" s="18">
        <f t="shared" si="0"/>
        <v>186.2985315625065</v>
      </c>
      <c r="BJ14" s="14">
        <f>IFERROR(VLOOKUP(AN14,'Scoring and Weighting'!$B$10:$C$12,2,FALSE),'Scoring and Weighting'!$C$13)</f>
        <v>80</v>
      </c>
      <c r="BK14" s="14">
        <f>VLOOKUP(BH14,'Scoring and Weighting'!$C$19:$F$23,4)</f>
        <v>70</v>
      </c>
      <c r="BL14" s="16">
        <f t="shared" si="1"/>
        <v>26</v>
      </c>
      <c r="BM14" s="14">
        <f>VLOOKUP('MasterGISTable with Scoring'!BI14,'Scoring and Weighting'!$C$35:$F$39,4,1)</f>
        <v>50</v>
      </c>
      <c r="BN14" s="14">
        <f t="shared" si="2"/>
        <v>100</v>
      </c>
      <c r="BO14" s="15">
        <f>IFERROR(VLOOKUP(AK14,'Scoring and Weighting'!$B$63:$C$65,2,FALSE),1)</f>
        <v>1</v>
      </c>
      <c r="BP14" s="26">
        <f>BJ14*'Scoring and Weighting'!$C$55*'MasterGISTable with Scoring'!BO14</f>
        <v>20</v>
      </c>
      <c r="BQ14" s="26">
        <f>BK14*BO14*'Scoring and Weighting'!$C$56</f>
        <v>17.5</v>
      </c>
      <c r="BR14" s="26">
        <f>BO14*BL14*'Scoring and Weighting'!$C$57</f>
        <v>6.5</v>
      </c>
      <c r="BS14" s="26">
        <f>BO14*BM14*'Scoring and Weighting'!$C$58</f>
        <v>5</v>
      </c>
      <c r="BT14" s="26">
        <f>BO14*BN14*'Scoring and Weighting'!$C$59</f>
        <v>15</v>
      </c>
      <c r="BU14" s="24">
        <f t="shared" si="3"/>
        <v>64</v>
      </c>
    </row>
    <row r="15" spans="1:73" x14ac:dyDescent="0.25">
      <c r="A15" t="s">
        <v>556</v>
      </c>
      <c r="B15" t="s">
        <v>67</v>
      </c>
      <c r="C15">
        <v>102</v>
      </c>
      <c r="F15">
        <v>374</v>
      </c>
      <c r="G15" t="s">
        <v>62</v>
      </c>
      <c r="H15">
        <v>1</v>
      </c>
      <c r="I15">
        <v>0</v>
      </c>
      <c r="J15" t="s">
        <v>68</v>
      </c>
      <c r="K15" t="s">
        <v>50</v>
      </c>
      <c r="L15" t="s">
        <v>64</v>
      </c>
      <c r="M15">
        <v>26436.379007568099</v>
      </c>
      <c r="N15">
        <v>19708226.332956798</v>
      </c>
      <c r="O15">
        <v>452.44003083335502</v>
      </c>
      <c r="P15">
        <v>62</v>
      </c>
      <c r="Q15">
        <v>52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100</v>
      </c>
      <c r="AA15">
        <v>0</v>
      </c>
      <c r="AB15">
        <v>0</v>
      </c>
      <c r="AC15">
        <v>0</v>
      </c>
      <c r="AD15">
        <v>1</v>
      </c>
      <c r="AE15">
        <v>1.1399999999999999</v>
      </c>
      <c r="AF15">
        <v>0.4</v>
      </c>
      <c r="AG15">
        <v>1.5</v>
      </c>
      <c r="AH15">
        <v>0.58140000000000003</v>
      </c>
      <c r="AI15">
        <v>0.58140000000000003</v>
      </c>
      <c r="AJ15">
        <v>0.58140000000000003</v>
      </c>
      <c r="AK15" t="s">
        <v>52</v>
      </c>
      <c r="AL15" t="s">
        <v>53</v>
      </c>
      <c r="AM15" t="s">
        <v>53</v>
      </c>
      <c r="AN15" t="s">
        <v>69</v>
      </c>
      <c r="AO15" t="s">
        <v>70</v>
      </c>
      <c r="AP15">
        <v>6.7563718999999994E-2</v>
      </c>
      <c r="AQ15" s="76">
        <v>6.2E-2</v>
      </c>
      <c r="AR15">
        <v>8.2347735000000005E-2</v>
      </c>
      <c r="AS15">
        <v>0</v>
      </c>
      <c r="AT15">
        <v>0.32500000000000001</v>
      </c>
      <c r="AU15">
        <v>0.217</v>
      </c>
      <c r="AV15">
        <v>8.0000000000000002E-3</v>
      </c>
      <c r="AW15">
        <v>7.1999999999999995E-2</v>
      </c>
      <c r="AX15">
        <v>3.5</v>
      </c>
      <c r="AY15">
        <v>0.12903225800000001</v>
      </c>
      <c r="AZ15">
        <v>6.7068336000000006E-2</v>
      </c>
      <c r="BA15">
        <v>0.32500000000000001</v>
      </c>
      <c r="BB15">
        <v>6.2E-2</v>
      </c>
      <c r="BC15">
        <v>0</v>
      </c>
      <c r="BD15">
        <v>6.8765624999999997E-2</v>
      </c>
      <c r="BE15">
        <v>0.24199999999999999</v>
      </c>
      <c r="BF15">
        <v>6.0999999999999999E-2</v>
      </c>
      <c r="BG15">
        <v>6.0000000000000001E-3</v>
      </c>
      <c r="BH15" s="18">
        <f>IF(ISBLANK(AQ15),AJ15*'ratio of flow'!$D$1,AQ15)</f>
        <v>6.2E-2</v>
      </c>
      <c r="BI15" s="18">
        <f t="shared" si="0"/>
        <v>280.51281911668013</v>
      </c>
      <c r="BJ15" s="14">
        <f>IFERROR(VLOOKUP(AN15,'Scoring and Weighting'!$B$10:$C$12,2,FALSE),'Scoring and Weighting'!$C$13)</f>
        <v>80</v>
      </c>
      <c r="BK15" s="14">
        <f>VLOOKUP(BH15,'Scoring and Weighting'!$C$19:$F$23,4)</f>
        <v>70</v>
      </c>
      <c r="BL15" s="16">
        <f t="shared" si="1"/>
        <v>12.903225800000001</v>
      </c>
      <c r="BM15" s="14">
        <f>VLOOKUP('MasterGISTable with Scoring'!BI15,'Scoring and Weighting'!$C$35:$F$39,4,1)</f>
        <v>70</v>
      </c>
      <c r="BN15" s="14">
        <f t="shared" si="2"/>
        <v>80</v>
      </c>
      <c r="BO15" s="15">
        <f>IFERROR(VLOOKUP(AK15,'Scoring and Weighting'!$B$63:$C$65,2,FALSE),1)</f>
        <v>1</v>
      </c>
      <c r="BP15" s="26">
        <f>BJ15*'Scoring and Weighting'!$C$55*'MasterGISTable with Scoring'!BO15</f>
        <v>20</v>
      </c>
      <c r="BQ15" s="26">
        <f>BK15*BO15*'Scoring and Weighting'!$C$56</f>
        <v>17.5</v>
      </c>
      <c r="BR15" s="26">
        <f>BO15*BL15*'Scoring and Weighting'!$C$57</f>
        <v>3.2258064500000003</v>
      </c>
      <c r="BS15" s="26">
        <f>BO15*BM15*'Scoring and Weighting'!$C$58</f>
        <v>7</v>
      </c>
      <c r="BT15" s="26">
        <f>BO15*BN15*'Scoring and Weighting'!$C$59</f>
        <v>12</v>
      </c>
      <c r="BU15" s="24">
        <f t="shared" si="3"/>
        <v>59.72580645</v>
      </c>
    </row>
    <row r="16" spans="1:73" x14ac:dyDescent="0.25">
      <c r="A16" t="s">
        <v>557</v>
      </c>
      <c r="B16" t="s">
        <v>184</v>
      </c>
      <c r="C16">
        <v>36</v>
      </c>
      <c r="F16">
        <v>42</v>
      </c>
      <c r="G16" t="s">
        <v>185</v>
      </c>
      <c r="H16">
        <v>1</v>
      </c>
      <c r="I16">
        <v>0</v>
      </c>
      <c r="J16" t="s">
        <v>179</v>
      </c>
      <c r="K16" t="s">
        <v>50</v>
      </c>
      <c r="L16" t="s">
        <v>180</v>
      </c>
      <c r="M16">
        <v>15237.324781506801</v>
      </c>
      <c r="N16">
        <v>9789225.00427958</v>
      </c>
      <c r="O16">
        <v>224.73038354367301</v>
      </c>
      <c r="P16">
        <v>58</v>
      </c>
      <c r="Q16">
        <v>58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100</v>
      </c>
      <c r="AC16">
        <v>0</v>
      </c>
      <c r="AD16">
        <v>2</v>
      </c>
      <c r="AE16">
        <v>0.6</v>
      </c>
      <c r="AF16">
        <v>2.5000000000000001E-2</v>
      </c>
      <c r="AG16">
        <v>1.25</v>
      </c>
      <c r="AH16">
        <v>1.0200000000000001E-2</v>
      </c>
      <c r="AI16">
        <v>2.2950000000000002E-2</v>
      </c>
      <c r="AJ16">
        <v>1.6574999999999999E-2</v>
      </c>
      <c r="AK16" t="s">
        <v>52</v>
      </c>
      <c r="AM16" t="s">
        <v>53</v>
      </c>
      <c r="AN16" t="s">
        <v>54</v>
      </c>
      <c r="AO16" t="s">
        <v>537</v>
      </c>
      <c r="AP16">
        <v>0.10024767599999999</v>
      </c>
      <c r="AQ16" s="76">
        <v>9.9000000000000005E-2</v>
      </c>
      <c r="AR16">
        <v>1.2445939E-2</v>
      </c>
      <c r="AS16">
        <v>2.8000000000000001E-2</v>
      </c>
      <c r="AT16">
        <v>0.24299999999999999</v>
      </c>
      <c r="AU16">
        <v>0.19900000000000001</v>
      </c>
      <c r="AV16">
        <v>3.9E-2</v>
      </c>
      <c r="AW16">
        <v>5.7000000000000002E-2</v>
      </c>
      <c r="AX16">
        <v>2.0101010100000001</v>
      </c>
      <c r="AY16">
        <v>0.393939394</v>
      </c>
      <c r="AZ16">
        <v>0.10256451</v>
      </c>
      <c r="BA16">
        <v>0.24299999999999999</v>
      </c>
      <c r="BB16">
        <v>0.10199999999999999</v>
      </c>
      <c r="BC16">
        <v>2.8000000000000001E-2</v>
      </c>
      <c r="BD16">
        <v>9.4558160000000002E-2</v>
      </c>
      <c r="BE16">
        <v>0.20200000000000001</v>
      </c>
      <c r="BF16">
        <v>9.0999999999999998E-2</v>
      </c>
      <c r="BG16">
        <v>3.7999999999999999E-2</v>
      </c>
      <c r="BH16" s="18">
        <f>IF(ISBLANK(AQ16),AJ16*'ratio of flow'!$D$1,AQ16)</f>
        <v>9.9000000000000005E-2</v>
      </c>
      <c r="BI16" s="18">
        <f t="shared" ref="BI16:BI24" si="4">O16*P16/100</f>
        <v>130.34362245533035</v>
      </c>
      <c r="BJ16" s="14">
        <f>IFERROR(VLOOKUP(AN16,'Scoring and Weighting'!$B$10:$C$12,2,FALSE),'Scoring and Weighting'!$C$13)</f>
        <v>100</v>
      </c>
      <c r="BK16" s="14">
        <f>VLOOKUP(BH16,'Scoring and Weighting'!$C$19:$F$23,4)</f>
        <v>70</v>
      </c>
      <c r="BL16" s="16">
        <f t="shared" si="1"/>
        <v>39.393939400000001</v>
      </c>
      <c r="BM16" s="14">
        <f>VLOOKUP('MasterGISTable with Scoring'!BI16,'Scoring and Weighting'!$C$35:$F$39,4,1)</f>
        <v>50</v>
      </c>
      <c r="BN16" s="14">
        <f t="shared" ref="BN16:BN24" si="5">IF(AND(AD16&gt;1,AQ16&gt;0,ISTEXT(AK16)),100,IF(AND(AQ16&gt;0,ISTEXT(AK16)),80,IF(AND(AD16&gt;1,ISTEXT(AK16)),60,IF(AD16&gt;1,40,20))))</f>
        <v>100</v>
      </c>
      <c r="BO16" s="15">
        <f>IFERROR(VLOOKUP(AK16,'Scoring and Weighting'!$B$63:$C$65,2,FALSE),1)</f>
        <v>1</v>
      </c>
      <c r="BP16" s="26">
        <f>BJ16*'Scoring and Weighting'!$C$55*'MasterGISTable with Scoring'!BO16</f>
        <v>25</v>
      </c>
      <c r="BQ16" s="26">
        <f>BK16*BO16*'Scoring and Weighting'!$C$56</f>
        <v>17.5</v>
      </c>
      <c r="BR16" s="26">
        <f>BO16*BL16*'Scoring and Weighting'!$C$57</f>
        <v>9.8484848500000002</v>
      </c>
      <c r="BS16" s="26">
        <f>BO16*BM16*'Scoring and Weighting'!$C$58</f>
        <v>5</v>
      </c>
      <c r="BT16" s="26">
        <f>BO16*BN16*'Scoring and Weighting'!$C$59</f>
        <v>15</v>
      </c>
      <c r="BU16" s="24">
        <f t="shared" si="3"/>
        <v>72.348484850000006</v>
      </c>
    </row>
    <row r="17" spans="1:73" x14ac:dyDescent="0.25">
      <c r="A17" t="s">
        <v>196</v>
      </c>
      <c r="C17">
        <v>39</v>
      </c>
      <c r="F17">
        <v>12036</v>
      </c>
      <c r="G17" t="s">
        <v>82</v>
      </c>
      <c r="H17">
        <v>1</v>
      </c>
      <c r="I17">
        <v>0</v>
      </c>
      <c r="J17" t="s">
        <v>58</v>
      </c>
      <c r="K17" t="s">
        <v>50</v>
      </c>
      <c r="L17" t="s">
        <v>84</v>
      </c>
      <c r="M17">
        <v>12973.430842088799</v>
      </c>
      <c r="N17">
        <v>6002780.9678765796</v>
      </c>
      <c r="O17">
        <v>137.80531846492599</v>
      </c>
      <c r="P17">
        <v>31</v>
      </c>
      <c r="Q17">
        <v>31</v>
      </c>
      <c r="R17">
        <v>0</v>
      </c>
      <c r="S17">
        <v>0</v>
      </c>
      <c r="T17">
        <v>0</v>
      </c>
      <c r="U17">
        <v>0</v>
      </c>
      <c r="V17">
        <v>100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</v>
      </c>
      <c r="AE17">
        <v>0.47499999999999998</v>
      </c>
      <c r="AF17">
        <v>3.5000000000000003E-2</v>
      </c>
      <c r="AG17">
        <v>1.45</v>
      </c>
      <c r="AH17">
        <v>6.3749999999999996E-3</v>
      </c>
      <c r="AI17">
        <v>3.6720000000000003E-2</v>
      </c>
      <c r="AJ17">
        <v>2.1547500000000001E-2</v>
      </c>
      <c r="AO17" t="s">
        <v>533</v>
      </c>
      <c r="AP17">
        <v>9.9385081E-2</v>
      </c>
      <c r="AQ17" s="76">
        <v>0.123</v>
      </c>
      <c r="AR17">
        <v>-0.237610298</v>
      </c>
      <c r="AS17">
        <v>0</v>
      </c>
      <c r="AT17">
        <v>0.30499999999999999</v>
      </c>
      <c r="AU17">
        <v>0.223</v>
      </c>
      <c r="AV17">
        <v>0</v>
      </c>
      <c r="AW17">
        <v>0.14499999999999999</v>
      </c>
      <c r="AX17">
        <v>1.8130081300000001</v>
      </c>
      <c r="AY17">
        <v>0</v>
      </c>
      <c r="AZ17">
        <v>0.107772269</v>
      </c>
      <c r="BA17">
        <v>0.26400000000000001</v>
      </c>
      <c r="BB17">
        <v>0.13300000000000001</v>
      </c>
      <c r="BC17">
        <v>0</v>
      </c>
      <c r="BD17">
        <v>8.1322048999999993E-2</v>
      </c>
      <c r="BE17">
        <v>0.30499999999999999</v>
      </c>
      <c r="BF17">
        <v>6.4000000000000001E-2</v>
      </c>
      <c r="BG17">
        <v>0</v>
      </c>
      <c r="BH17" s="18">
        <f>IF(ISBLANK(AQ17),AJ17*'ratio of flow'!$D$1,AQ17)</f>
        <v>0.123</v>
      </c>
      <c r="BI17" s="18">
        <f t="shared" si="4"/>
        <v>42.719648724127055</v>
      </c>
      <c r="BJ17" s="14">
        <f>IFERROR(VLOOKUP(AN17,'Scoring and Weighting'!$B$10:$C$12,2,FALSE),'Scoring and Weighting'!$C$13)</f>
        <v>70</v>
      </c>
      <c r="BK17" s="14">
        <f>VLOOKUP(BH17,'Scoring and Weighting'!$C$19:$F$23,4)</f>
        <v>70</v>
      </c>
      <c r="BL17" s="16">
        <f t="shared" si="1"/>
        <v>0</v>
      </c>
      <c r="BM17" s="14">
        <f>VLOOKUP('MasterGISTable with Scoring'!BI17,'Scoring and Weighting'!$C$35:$F$39,4,1)</f>
        <v>30</v>
      </c>
      <c r="BN17" s="14">
        <f t="shared" si="5"/>
        <v>40</v>
      </c>
      <c r="BO17" s="15">
        <f>IFERROR(VLOOKUP(AK17,'Scoring and Weighting'!$B$63:$C$65,2,FALSE),1)</f>
        <v>1</v>
      </c>
      <c r="BP17" s="26">
        <f>BJ17*'Scoring and Weighting'!$C$55*'MasterGISTable with Scoring'!BO17</f>
        <v>17.5</v>
      </c>
      <c r="BQ17" s="26">
        <f>BK17*BO17*'Scoring and Weighting'!$C$56</f>
        <v>17.5</v>
      </c>
      <c r="BR17" s="26">
        <f>BO17*BL17*'Scoring and Weighting'!$C$57</f>
        <v>0</v>
      </c>
      <c r="BS17" s="26">
        <f>BO17*BM17*'Scoring and Weighting'!$C$58</f>
        <v>3</v>
      </c>
      <c r="BT17" s="26">
        <f>BO17*BN17*'Scoring and Weighting'!$C$59</f>
        <v>6</v>
      </c>
      <c r="BU17" s="24">
        <f t="shared" si="3"/>
        <v>44</v>
      </c>
    </row>
    <row r="18" spans="1:73" x14ac:dyDescent="0.25">
      <c r="A18" t="s">
        <v>558</v>
      </c>
      <c r="B18" t="s">
        <v>81</v>
      </c>
      <c r="C18">
        <v>120</v>
      </c>
      <c r="F18">
        <v>12126</v>
      </c>
      <c r="G18" t="s">
        <v>82</v>
      </c>
      <c r="H18">
        <v>1</v>
      </c>
      <c r="I18">
        <v>0</v>
      </c>
      <c r="J18" t="s">
        <v>83</v>
      </c>
      <c r="K18" t="s">
        <v>50</v>
      </c>
      <c r="L18" t="s">
        <v>84</v>
      </c>
      <c r="M18">
        <v>42037.588012665103</v>
      </c>
      <c r="N18">
        <v>42734705.527915202</v>
      </c>
      <c r="O18">
        <v>981.05690284121499</v>
      </c>
      <c r="P18">
        <v>77</v>
      </c>
      <c r="Q18">
        <v>70</v>
      </c>
      <c r="R18">
        <v>0</v>
      </c>
      <c r="S18">
        <v>29</v>
      </c>
      <c r="T18">
        <v>0</v>
      </c>
      <c r="U18">
        <v>0</v>
      </c>
      <c r="V18">
        <v>71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1.9</v>
      </c>
      <c r="AF18">
        <v>0.09</v>
      </c>
      <c r="AG18">
        <v>2.3571428571428501</v>
      </c>
      <c r="AH18">
        <v>0.198171428571429</v>
      </c>
      <c r="AI18">
        <v>0.53549999999999998</v>
      </c>
      <c r="AJ18">
        <v>0.36683571428571399</v>
      </c>
      <c r="AO18" t="s">
        <v>70</v>
      </c>
      <c r="AP18">
        <v>0.13912080900000001</v>
      </c>
      <c r="AQ18" s="76">
        <v>0.13700000000000001</v>
      </c>
      <c r="AR18">
        <v>1.524437E-2</v>
      </c>
      <c r="AS18">
        <v>3.5000000000000003E-2</v>
      </c>
      <c r="AT18">
        <v>0.26300000000000001</v>
      </c>
      <c r="AU18">
        <v>0.23899999999999999</v>
      </c>
      <c r="AV18">
        <v>7.8E-2</v>
      </c>
      <c r="AW18">
        <v>0.115</v>
      </c>
      <c r="AX18">
        <v>1.7445255470000001</v>
      </c>
      <c r="AY18">
        <v>0.56934306599999995</v>
      </c>
      <c r="AZ18">
        <v>0.14102099800000001</v>
      </c>
      <c r="BA18">
        <v>0.26200000000000001</v>
      </c>
      <c r="BB18">
        <v>0.14000000000000001</v>
      </c>
      <c r="BC18">
        <v>3.9E-2</v>
      </c>
      <c r="BD18">
        <v>0.13470046099999999</v>
      </c>
      <c r="BE18">
        <v>0.26300000000000001</v>
      </c>
      <c r="BF18">
        <v>0.13200000000000001</v>
      </c>
      <c r="BG18">
        <v>3.5000000000000003E-2</v>
      </c>
      <c r="BH18" s="18">
        <f>IF(ISBLANK(AQ18),AJ18*'ratio of flow'!$D$1,AQ18)</f>
        <v>0.13700000000000001</v>
      </c>
      <c r="BI18" s="18">
        <f t="shared" si="4"/>
        <v>755.41381518773562</v>
      </c>
      <c r="BJ18" s="14">
        <f>IFERROR(VLOOKUP(AN18,'Scoring and Weighting'!$B$10:$C$12,2,FALSE),'Scoring and Weighting'!$C$13)</f>
        <v>70</v>
      </c>
      <c r="BK18" s="14">
        <f>VLOOKUP(BH18,'Scoring and Weighting'!$C$19:$F$23,4)</f>
        <v>90</v>
      </c>
      <c r="BL18" s="16">
        <f t="shared" si="1"/>
        <v>56.934306599999992</v>
      </c>
      <c r="BM18" s="14">
        <f>VLOOKUP('MasterGISTable with Scoring'!BI18,'Scoring and Weighting'!$C$35:$F$39,4,1)</f>
        <v>90</v>
      </c>
      <c r="BN18" s="14">
        <f t="shared" si="5"/>
        <v>40</v>
      </c>
      <c r="BO18" s="15">
        <f>IFERROR(VLOOKUP(AK18,'Scoring and Weighting'!$B$63:$C$65,2,FALSE),1)</f>
        <v>1</v>
      </c>
      <c r="BP18" s="26">
        <f>BJ18*'Scoring and Weighting'!$C$55*'MasterGISTable with Scoring'!BO18</f>
        <v>17.5</v>
      </c>
      <c r="BQ18" s="26">
        <f>BK18*BO18*'Scoring and Weighting'!$C$56</f>
        <v>22.5</v>
      </c>
      <c r="BR18" s="26">
        <f>BO18*BL18*'Scoring and Weighting'!$C$57</f>
        <v>14.233576649999998</v>
      </c>
      <c r="BS18" s="26">
        <f>BO18*BM18*'Scoring and Weighting'!$C$58</f>
        <v>9</v>
      </c>
      <c r="BT18" s="26">
        <f>BO18*BN18*'Scoring and Weighting'!$C$59</f>
        <v>6</v>
      </c>
      <c r="BU18" s="24">
        <f t="shared" si="3"/>
        <v>69.233576650000003</v>
      </c>
    </row>
    <row r="19" spans="1:73" x14ac:dyDescent="0.25">
      <c r="A19" t="s">
        <v>559</v>
      </c>
      <c r="B19" t="s">
        <v>199</v>
      </c>
      <c r="C19">
        <v>48</v>
      </c>
      <c r="F19">
        <v>12032</v>
      </c>
      <c r="G19" t="s">
        <v>82</v>
      </c>
      <c r="H19">
        <v>1</v>
      </c>
      <c r="I19">
        <v>0</v>
      </c>
      <c r="J19" t="s">
        <v>58</v>
      </c>
      <c r="K19" t="s">
        <v>50</v>
      </c>
      <c r="L19" t="s">
        <v>84</v>
      </c>
      <c r="M19">
        <v>15117.294468751101</v>
      </c>
      <c r="N19">
        <v>5525448.9897399396</v>
      </c>
      <c r="O19">
        <v>126.847249927589</v>
      </c>
      <c r="P19">
        <v>71</v>
      </c>
      <c r="Q19">
        <v>71</v>
      </c>
      <c r="R19">
        <v>0</v>
      </c>
      <c r="S19">
        <v>0</v>
      </c>
      <c r="T19">
        <v>0</v>
      </c>
      <c r="U19">
        <v>0</v>
      </c>
      <c r="V19">
        <v>100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3</v>
      </c>
      <c r="AE19">
        <v>1</v>
      </c>
      <c r="AF19">
        <v>6.6666666666666999E-2</v>
      </c>
      <c r="AG19">
        <v>1.56666666666666</v>
      </c>
      <c r="AH19">
        <v>1.9890000000000001E-2</v>
      </c>
      <c r="AI19">
        <v>0.14280000000000001</v>
      </c>
      <c r="AJ19">
        <v>6.9529999999999995E-2</v>
      </c>
      <c r="AK19" t="s">
        <v>110</v>
      </c>
      <c r="AL19" t="s">
        <v>53</v>
      </c>
      <c r="AM19" t="s">
        <v>53</v>
      </c>
      <c r="AN19" t="s">
        <v>114</v>
      </c>
      <c r="AO19" t="s">
        <v>532</v>
      </c>
      <c r="AP19">
        <v>0.185703272</v>
      </c>
      <c r="AQ19" s="76">
        <v>0.157</v>
      </c>
      <c r="AR19">
        <v>0.15456524499999999</v>
      </c>
      <c r="AS19">
        <v>3.9E-2</v>
      </c>
      <c r="AT19">
        <v>1.17</v>
      </c>
      <c r="AU19">
        <v>0.88500000000000001</v>
      </c>
      <c r="AV19">
        <v>8.3000000000000004E-2</v>
      </c>
      <c r="AW19">
        <v>0.112</v>
      </c>
      <c r="AX19">
        <v>5.6369426750000002</v>
      </c>
      <c r="AY19">
        <v>0.52866241999999997</v>
      </c>
      <c r="AZ19">
        <v>0.182179864</v>
      </c>
      <c r="BA19">
        <v>1.08</v>
      </c>
      <c r="BB19">
        <v>0.154</v>
      </c>
      <c r="BC19">
        <v>3.9E-2</v>
      </c>
      <c r="BD19">
        <v>0.19423958299999999</v>
      </c>
      <c r="BE19">
        <v>1.17</v>
      </c>
      <c r="BF19">
        <v>0.16400000000000001</v>
      </c>
      <c r="BG19">
        <v>7.5999999999999998E-2</v>
      </c>
      <c r="BH19" s="18">
        <f>IF(ISBLANK(AQ19),AJ19*'ratio of flow'!$D$1,AQ19)</f>
        <v>0.157</v>
      </c>
      <c r="BI19" s="18">
        <f t="shared" si="4"/>
        <v>90.061547448588186</v>
      </c>
      <c r="BJ19" s="14">
        <f>IFERROR(VLOOKUP(AN19,'Scoring and Weighting'!$B$10:$C$12,2,FALSE),'Scoring and Weighting'!$C$13)</f>
        <v>60</v>
      </c>
      <c r="BK19" s="14">
        <f>VLOOKUP(BH19,'Scoring and Weighting'!$C$19:$F$23,4)</f>
        <v>90</v>
      </c>
      <c r="BL19" s="16">
        <f t="shared" si="1"/>
        <v>52.866242</v>
      </c>
      <c r="BM19" s="14">
        <f>VLOOKUP('MasterGISTable with Scoring'!BI19,'Scoring and Weighting'!$C$35:$F$39,4,1)</f>
        <v>30</v>
      </c>
      <c r="BN19" s="14">
        <f t="shared" si="5"/>
        <v>100</v>
      </c>
      <c r="BO19" s="15">
        <f>IFERROR(VLOOKUP(AK19,'Scoring and Weighting'!$B$63:$C$65,2,FALSE),1)</f>
        <v>0.5</v>
      </c>
      <c r="BP19" s="26">
        <f>BJ19*'Scoring and Weighting'!$C$55*'MasterGISTable with Scoring'!BO19</f>
        <v>7.5</v>
      </c>
      <c r="BQ19" s="26">
        <f>BK19*BO19*'Scoring and Weighting'!$C$56</f>
        <v>11.25</v>
      </c>
      <c r="BR19" s="26">
        <f>BO19*BL19*'Scoring and Weighting'!$C$57</f>
        <v>6.60828025</v>
      </c>
      <c r="BS19" s="26">
        <f>BO19*BM19*'Scoring and Weighting'!$C$58</f>
        <v>1.5</v>
      </c>
      <c r="BT19" s="26">
        <f>BO19*BN19*'Scoring and Weighting'!$C$59</f>
        <v>7.5</v>
      </c>
      <c r="BU19" s="24">
        <f t="shared" si="3"/>
        <v>34.35828025</v>
      </c>
    </row>
    <row r="20" spans="1:73" x14ac:dyDescent="0.25">
      <c r="A20" t="s">
        <v>560</v>
      </c>
      <c r="B20" t="s">
        <v>108</v>
      </c>
      <c r="C20">
        <v>90</v>
      </c>
      <c r="F20">
        <v>691</v>
      </c>
      <c r="G20" t="s">
        <v>109</v>
      </c>
      <c r="H20">
        <v>1</v>
      </c>
      <c r="I20">
        <v>0</v>
      </c>
      <c r="J20" t="s">
        <v>103</v>
      </c>
      <c r="K20" t="s">
        <v>50</v>
      </c>
      <c r="L20" t="s">
        <v>64</v>
      </c>
      <c r="M20">
        <v>31614.636778074499</v>
      </c>
      <c r="N20">
        <v>22011012.966371801</v>
      </c>
      <c r="O20">
        <v>505.30490247747002</v>
      </c>
      <c r="P20">
        <v>72</v>
      </c>
      <c r="Q20">
        <v>68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100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1.4</v>
      </c>
      <c r="AF20">
        <v>0.1</v>
      </c>
      <c r="AG20">
        <v>3</v>
      </c>
      <c r="AH20">
        <v>0.35699999999999998</v>
      </c>
      <c r="AI20">
        <v>0.35699999999999998</v>
      </c>
      <c r="AJ20">
        <v>0.35699999999999998</v>
      </c>
      <c r="AK20" t="s">
        <v>110</v>
      </c>
      <c r="AL20" t="s">
        <v>53</v>
      </c>
      <c r="AM20" t="s">
        <v>53</v>
      </c>
      <c r="AN20" t="s">
        <v>69</v>
      </c>
      <c r="AO20" t="s">
        <v>111</v>
      </c>
      <c r="AP20">
        <v>0.20541395600000001</v>
      </c>
      <c r="AQ20" s="76">
        <v>0.191</v>
      </c>
      <c r="AR20">
        <v>7.0170284999999999E-2</v>
      </c>
      <c r="AS20">
        <v>5.8000000000000003E-2</v>
      </c>
      <c r="AT20">
        <v>0.60899999999999999</v>
      </c>
      <c r="AU20">
        <v>0.34100000000000003</v>
      </c>
      <c r="AV20">
        <v>9.2999999999999999E-2</v>
      </c>
      <c r="AW20">
        <v>0.27800000000000002</v>
      </c>
      <c r="AX20">
        <v>1.7853403139999999</v>
      </c>
      <c r="AY20">
        <v>0.48691099500000001</v>
      </c>
      <c r="AZ20">
        <v>0.21042295699999999</v>
      </c>
      <c r="BA20">
        <v>0.60899999999999999</v>
      </c>
      <c r="BB20">
        <v>0.193</v>
      </c>
      <c r="BC20">
        <v>5.8000000000000003E-2</v>
      </c>
      <c r="BD20">
        <v>0.19291319400000001</v>
      </c>
      <c r="BE20">
        <v>0.377</v>
      </c>
      <c r="BF20">
        <v>0.185</v>
      </c>
      <c r="BG20">
        <v>6.6000000000000003E-2</v>
      </c>
      <c r="BH20" s="18">
        <f>IF(ISBLANK(AQ20),AJ20*'ratio of flow'!$D$1,AQ20)</f>
        <v>0.191</v>
      </c>
      <c r="BI20" s="18">
        <f t="shared" si="4"/>
        <v>363.81952978377842</v>
      </c>
      <c r="BJ20" s="14">
        <f>IFERROR(VLOOKUP(AN20,'Scoring and Weighting'!$B$10:$C$12,2,FALSE),'Scoring and Weighting'!$C$13)</f>
        <v>80</v>
      </c>
      <c r="BK20" s="14">
        <f>VLOOKUP(BH20,'Scoring and Weighting'!$C$19:$F$23,4)</f>
        <v>90</v>
      </c>
      <c r="BL20" s="16">
        <f t="shared" si="1"/>
        <v>48.6910995</v>
      </c>
      <c r="BM20" s="14">
        <f>VLOOKUP('MasterGISTable with Scoring'!BI20,'Scoring and Weighting'!$C$35:$F$39,4,1)</f>
        <v>90</v>
      </c>
      <c r="BN20" s="14">
        <f t="shared" si="5"/>
        <v>80</v>
      </c>
      <c r="BO20" s="15">
        <f>IFERROR(VLOOKUP(AK20,'Scoring and Weighting'!$B$63:$C$65,2,FALSE),1)</f>
        <v>0.5</v>
      </c>
      <c r="BP20" s="26">
        <f>BJ20*'Scoring and Weighting'!$C$55*'MasterGISTable with Scoring'!BO20</f>
        <v>10</v>
      </c>
      <c r="BQ20" s="26">
        <f>BK20*BO20*'Scoring and Weighting'!$C$56</f>
        <v>11.25</v>
      </c>
      <c r="BR20" s="26">
        <f>BO20*BL20*'Scoring and Weighting'!$C$57</f>
        <v>6.0863874375</v>
      </c>
      <c r="BS20" s="26">
        <f>BO20*BM20*'Scoring and Weighting'!$C$58</f>
        <v>4.5</v>
      </c>
      <c r="BT20" s="26">
        <f>BO20*BN20*'Scoring and Weighting'!$C$59</f>
        <v>6</v>
      </c>
      <c r="BU20" s="24">
        <f t="shared" si="3"/>
        <v>37.836387437500001</v>
      </c>
    </row>
    <row r="21" spans="1:73" x14ac:dyDescent="0.25">
      <c r="A21" t="s">
        <v>521</v>
      </c>
      <c r="C21">
        <v>36</v>
      </c>
      <c r="F21">
        <v>85</v>
      </c>
      <c r="G21" t="s">
        <v>214</v>
      </c>
      <c r="H21">
        <v>1</v>
      </c>
      <c r="I21">
        <v>0</v>
      </c>
      <c r="J21" t="s">
        <v>179</v>
      </c>
      <c r="K21" t="s">
        <v>50</v>
      </c>
      <c r="L21" t="s">
        <v>180</v>
      </c>
      <c r="M21">
        <v>12816.403674247</v>
      </c>
      <c r="N21">
        <v>8706229.2917328607</v>
      </c>
      <c r="O21">
        <v>199.86814554726499</v>
      </c>
      <c r="P21">
        <v>65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100</v>
      </c>
      <c r="AC21">
        <v>0</v>
      </c>
      <c r="AO21" t="s">
        <v>540</v>
      </c>
      <c r="AP21">
        <v>0.23772325899999999</v>
      </c>
      <c r="AQ21" s="76">
        <v>0.19500000000000001</v>
      </c>
      <c r="AR21">
        <v>0.17971846499999999</v>
      </c>
      <c r="AS21">
        <v>0</v>
      </c>
      <c r="AT21">
        <v>0.83399999999999996</v>
      </c>
      <c r="AU21">
        <v>0.57699999999999996</v>
      </c>
      <c r="AV21">
        <v>5.6000000000000001E-2</v>
      </c>
      <c r="AW21">
        <v>0.14599999999999999</v>
      </c>
      <c r="AX21">
        <v>2.9589743589999999</v>
      </c>
      <c r="AY21">
        <v>0.28717948700000001</v>
      </c>
      <c r="AZ21">
        <v>0.24573542000000001</v>
      </c>
      <c r="BA21">
        <v>0.70699999999999996</v>
      </c>
      <c r="BB21">
        <v>0.20200000000000001</v>
      </c>
      <c r="BC21">
        <v>0</v>
      </c>
      <c r="BD21">
        <v>0.21816579899999999</v>
      </c>
      <c r="BE21">
        <v>0.83399999999999996</v>
      </c>
      <c r="BF21">
        <v>0.17150000000000001</v>
      </c>
      <c r="BG21">
        <v>8.9999999999999993E-3</v>
      </c>
      <c r="BH21" s="18">
        <f>IF(ISBLANK(AQ21),AJ21*'ratio of flow'!$D$1,AQ21)</f>
        <v>0.19500000000000001</v>
      </c>
      <c r="BI21" s="18">
        <f t="shared" si="4"/>
        <v>129.91429460572223</v>
      </c>
      <c r="BJ21" s="14">
        <f>IFERROR(VLOOKUP(AN21,'Scoring and Weighting'!$B$10:$C$12,2,FALSE),'Scoring and Weighting'!$C$13)</f>
        <v>70</v>
      </c>
      <c r="BK21" s="14">
        <f>VLOOKUP(BH21,'Scoring and Weighting'!$C$19:$F$23,4)</f>
        <v>90</v>
      </c>
      <c r="BL21" s="16">
        <f t="shared" si="1"/>
        <v>28.717948700000001</v>
      </c>
      <c r="BM21" s="14">
        <f>VLOOKUP('MasterGISTable with Scoring'!BI21,'Scoring and Weighting'!$C$35:$F$39,4,1)</f>
        <v>30</v>
      </c>
      <c r="BN21" s="14">
        <f t="shared" si="5"/>
        <v>20</v>
      </c>
      <c r="BO21" s="15">
        <f>IFERROR(VLOOKUP(AK21,'Scoring and Weighting'!$B$63:$C$65,2,FALSE),1)</f>
        <v>1</v>
      </c>
      <c r="BP21" s="26">
        <f>BJ21*'Scoring and Weighting'!$C$55*'MasterGISTable with Scoring'!BO21</f>
        <v>17.5</v>
      </c>
      <c r="BQ21" s="26">
        <f>BK21*BO21*'Scoring and Weighting'!$C$56</f>
        <v>22.5</v>
      </c>
      <c r="BR21" s="26">
        <f>BO21*BL21*'Scoring and Weighting'!$C$57</f>
        <v>7.1794871750000002</v>
      </c>
      <c r="BS21" s="26">
        <f>BO21*BM21*'Scoring and Weighting'!$C$58</f>
        <v>3</v>
      </c>
      <c r="BT21" s="26">
        <f>BO21*BN21*'Scoring and Weighting'!$C$59</f>
        <v>3</v>
      </c>
      <c r="BU21" s="24">
        <f t="shared" si="3"/>
        <v>53.179487174999998</v>
      </c>
    </row>
    <row r="22" spans="1:73" x14ac:dyDescent="0.25">
      <c r="A22" t="s">
        <v>561</v>
      </c>
      <c r="B22" t="s">
        <v>99</v>
      </c>
      <c r="C22">
        <v>96</v>
      </c>
      <c r="F22">
        <v>166</v>
      </c>
      <c r="G22" t="s">
        <v>62</v>
      </c>
      <c r="H22">
        <v>1</v>
      </c>
      <c r="I22">
        <v>0</v>
      </c>
      <c r="J22" t="s">
        <v>63</v>
      </c>
      <c r="K22" t="s">
        <v>50</v>
      </c>
      <c r="L22" t="s">
        <v>64</v>
      </c>
      <c r="M22">
        <v>24156.322657897901</v>
      </c>
      <c r="N22">
        <v>21541058.0010661</v>
      </c>
      <c r="O22">
        <v>494.51618737946802</v>
      </c>
      <c r="P22">
        <v>70</v>
      </c>
      <c r="Q22">
        <v>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99</v>
      </c>
      <c r="AB22">
        <v>0</v>
      </c>
      <c r="AC22">
        <v>0</v>
      </c>
      <c r="AD22">
        <v>2</v>
      </c>
      <c r="AE22">
        <v>1.1000000000000001</v>
      </c>
      <c r="AF22">
        <v>3.5000000000000003E-2</v>
      </c>
      <c r="AG22">
        <v>1.03571428571428</v>
      </c>
      <c r="AH22">
        <v>2.1857142857142998E-2</v>
      </c>
      <c r="AI22">
        <v>4.7600000000000003E-2</v>
      </c>
      <c r="AJ22">
        <v>3.4728571428570998E-2</v>
      </c>
      <c r="AK22" t="s">
        <v>52</v>
      </c>
      <c r="AM22" t="s">
        <v>53</v>
      </c>
      <c r="AN22" t="s">
        <v>54</v>
      </c>
      <c r="AO22" t="s">
        <v>59</v>
      </c>
      <c r="AP22">
        <v>0.21871696299999999</v>
      </c>
      <c r="AQ22" s="76">
        <v>0.21099999999999999</v>
      </c>
      <c r="AR22">
        <v>3.5282872999999999E-2</v>
      </c>
      <c r="AS22">
        <v>0.105</v>
      </c>
      <c r="AT22">
        <v>0.621</v>
      </c>
      <c r="AU22">
        <v>0.372</v>
      </c>
      <c r="AV22">
        <v>0.1235</v>
      </c>
      <c r="AW22">
        <v>0.151</v>
      </c>
      <c r="AX22">
        <v>1.7630331749999999</v>
      </c>
      <c r="AY22">
        <v>0.58530805699999999</v>
      </c>
      <c r="AZ22">
        <v>0.22232927399999999</v>
      </c>
      <c r="BA22">
        <v>0.621</v>
      </c>
      <c r="BB22">
        <v>0.214</v>
      </c>
      <c r="BC22">
        <v>0.105</v>
      </c>
      <c r="BD22">
        <v>0.210683333</v>
      </c>
      <c r="BE22">
        <v>0.47</v>
      </c>
      <c r="BF22">
        <v>0.20499999999999999</v>
      </c>
      <c r="BG22">
        <v>0.108</v>
      </c>
      <c r="BH22" s="18">
        <f>IF(ISBLANK(AQ22),AJ22*'ratio of flow'!$D$1,AQ22)</f>
        <v>0.21099999999999999</v>
      </c>
      <c r="BI22" s="18">
        <f t="shared" si="4"/>
        <v>346.16133116562764</v>
      </c>
      <c r="BJ22" s="14">
        <f>IFERROR(VLOOKUP(AN22,'Scoring and Weighting'!$B$10:$C$12,2,FALSE),'Scoring and Weighting'!$C$13)</f>
        <v>100</v>
      </c>
      <c r="BK22" s="14">
        <f>VLOOKUP(BH22,'Scoring and Weighting'!$C$19:$F$23,4)</f>
        <v>100</v>
      </c>
      <c r="BL22" s="16">
        <f t="shared" si="1"/>
        <v>58.530805700000002</v>
      </c>
      <c r="BM22" s="14">
        <f>VLOOKUP('MasterGISTable with Scoring'!BI22,'Scoring and Weighting'!$C$35:$F$39,4,1)</f>
        <v>90</v>
      </c>
      <c r="BN22" s="14">
        <f t="shared" si="5"/>
        <v>100</v>
      </c>
      <c r="BO22" s="15">
        <f>IFERROR(VLOOKUP(AK22,'Scoring and Weighting'!$B$63:$C$65,2,FALSE),1)</f>
        <v>1</v>
      </c>
      <c r="BP22" s="26">
        <f>BJ22*'Scoring and Weighting'!$C$55*'MasterGISTable with Scoring'!BO22</f>
        <v>25</v>
      </c>
      <c r="BQ22" s="26">
        <f>BK22*BO22*'Scoring and Weighting'!$C$56</f>
        <v>25</v>
      </c>
      <c r="BR22" s="26">
        <f>BO22*BL22*'Scoring and Weighting'!$C$57</f>
        <v>14.632701425</v>
      </c>
      <c r="BS22" s="26">
        <f>BO22*BM22*'Scoring and Weighting'!$C$58</f>
        <v>9</v>
      </c>
      <c r="BT22" s="26">
        <f>BO22*BN22*'Scoring and Weighting'!$C$59</f>
        <v>15</v>
      </c>
      <c r="BU22" s="24">
        <f t="shared" si="3"/>
        <v>88.632701424999993</v>
      </c>
    </row>
    <row r="23" spans="1:73" x14ac:dyDescent="0.25">
      <c r="A23" t="s">
        <v>562</v>
      </c>
      <c r="D23">
        <v>14</v>
      </c>
      <c r="E23">
        <v>14</v>
      </c>
      <c r="F23">
        <v>52</v>
      </c>
      <c r="G23" t="s">
        <v>214</v>
      </c>
      <c r="H23">
        <v>1</v>
      </c>
      <c r="I23">
        <v>1</v>
      </c>
      <c r="J23" t="s">
        <v>179</v>
      </c>
      <c r="K23" t="s">
        <v>50</v>
      </c>
      <c r="L23" t="s">
        <v>180</v>
      </c>
      <c r="M23">
        <v>115728.732090433</v>
      </c>
      <c r="N23">
        <v>159076318.869425</v>
      </c>
      <c r="O23">
        <v>3651.9011603689801</v>
      </c>
      <c r="P23">
        <v>33</v>
      </c>
      <c r="Q23">
        <v>18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19</v>
      </c>
      <c r="AA23">
        <v>1</v>
      </c>
      <c r="AB23">
        <v>80</v>
      </c>
      <c r="AC23">
        <v>0</v>
      </c>
      <c r="AD23">
        <v>3</v>
      </c>
      <c r="AE23">
        <v>1.9666666666666599</v>
      </c>
      <c r="AF23">
        <v>0.18</v>
      </c>
      <c r="AG23">
        <v>1.2603041216486599</v>
      </c>
      <c r="AH23">
        <v>0.29249999999999998</v>
      </c>
      <c r="AI23">
        <v>0.51</v>
      </c>
      <c r="AJ23">
        <v>0.38025510204081597</v>
      </c>
      <c r="AK23" t="s">
        <v>52</v>
      </c>
      <c r="AL23" t="s">
        <v>53</v>
      </c>
      <c r="AM23" t="s">
        <v>53</v>
      </c>
      <c r="AO23" t="s">
        <v>539</v>
      </c>
      <c r="AP23">
        <v>0.49822490000000003</v>
      </c>
      <c r="AQ23" s="76">
        <v>0.48799999999999999</v>
      </c>
      <c r="AR23">
        <v>2.0522658999999999E-2</v>
      </c>
      <c r="AS23">
        <v>0.38</v>
      </c>
      <c r="AT23">
        <v>0.77100000000000002</v>
      </c>
      <c r="AU23">
        <v>0.61899999999999999</v>
      </c>
      <c r="AV23">
        <v>0.41099999999999998</v>
      </c>
      <c r="AW23">
        <v>0.46500000000000002</v>
      </c>
      <c r="AX23">
        <v>1.2684426230000001</v>
      </c>
      <c r="AY23">
        <v>0.84221311499999996</v>
      </c>
      <c r="AZ23">
        <v>0.50361788600000001</v>
      </c>
      <c r="BA23">
        <v>0.77100000000000002</v>
      </c>
      <c r="BB23">
        <v>0.497</v>
      </c>
      <c r="BC23">
        <v>0.38</v>
      </c>
      <c r="BD23">
        <v>0.486132813</v>
      </c>
      <c r="BE23">
        <v>0.65500000000000003</v>
      </c>
      <c r="BF23">
        <v>0.47899999999999998</v>
      </c>
      <c r="BG23">
        <v>0.38</v>
      </c>
      <c r="BH23" s="18">
        <f>IF(ISBLANK(AQ23),AJ23*'ratio of flow'!$D$1,AQ23)</f>
        <v>0.48799999999999999</v>
      </c>
      <c r="BI23" s="18">
        <f t="shared" si="4"/>
        <v>1205.1273829217635</v>
      </c>
      <c r="BJ23" s="14">
        <f>IFERROR(VLOOKUP(AN23,'Scoring and Weighting'!$B$10:$C$12,2,FALSE),'Scoring and Weighting'!$C$13)</f>
        <v>70</v>
      </c>
      <c r="BK23" s="14">
        <f>VLOOKUP(BH23,'Scoring and Weighting'!$C$19:$F$23,4)</f>
        <v>100</v>
      </c>
      <c r="BL23" s="16">
        <f t="shared" si="1"/>
        <v>84.221311499999999</v>
      </c>
      <c r="BM23" s="14">
        <f>VLOOKUP('MasterGISTable with Scoring'!BI23,'Scoring and Weighting'!$C$35:$F$39,4,1)</f>
        <v>100</v>
      </c>
      <c r="BN23" s="14">
        <f t="shared" si="5"/>
        <v>100</v>
      </c>
      <c r="BO23" s="15">
        <f>IFERROR(VLOOKUP(AK23,'Scoring and Weighting'!$B$63:$C$65,2,FALSE),1)</f>
        <v>1</v>
      </c>
      <c r="BP23" s="26">
        <f>BJ23*'Scoring and Weighting'!$C$55*'MasterGISTable with Scoring'!BO23</f>
        <v>17.5</v>
      </c>
      <c r="BQ23" s="26">
        <f>BK23*BO23*'Scoring and Weighting'!$C$56</f>
        <v>25</v>
      </c>
      <c r="BR23" s="26">
        <f>BO23*BL23*'Scoring and Weighting'!$C$57</f>
        <v>21.055327875</v>
      </c>
      <c r="BS23" s="26">
        <f>BO23*BM23*'Scoring and Weighting'!$C$58</f>
        <v>10</v>
      </c>
      <c r="BT23" s="26">
        <f>BO23*BN23*'Scoring and Weighting'!$C$59</f>
        <v>15</v>
      </c>
      <c r="BU23" s="24">
        <f t="shared" si="3"/>
        <v>88.555327875000003</v>
      </c>
    </row>
    <row r="24" spans="1:73" s="76" customFormat="1" x14ac:dyDescent="0.25">
      <c r="A24" t="s">
        <v>563</v>
      </c>
      <c r="B24" s="76" t="s">
        <v>101</v>
      </c>
      <c r="C24" s="76">
        <v>90</v>
      </c>
      <c r="F24" s="76">
        <v>136</v>
      </c>
      <c r="G24" s="76" t="s">
        <v>102</v>
      </c>
      <c r="H24" s="76">
        <v>1</v>
      </c>
      <c r="I24" s="76">
        <v>0</v>
      </c>
      <c r="J24" s="76" t="s">
        <v>103</v>
      </c>
      <c r="K24" s="76" t="s">
        <v>50</v>
      </c>
      <c r="L24" s="76" t="s">
        <v>64</v>
      </c>
      <c r="M24" s="76">
        <v>31246.7533328227</v>
      </c>
      <c r="N24" s="76">
        <v>19806302.6948018</v>
      </c>
      <c r="O24" s="76">
        <v>454.69156130735701</v>
      </c>
      <c r="P24" s="76">
        <v>100</v>
      </c>
      <c r="Q24" s="76">
        <v>61</v>
      </c>
      <c r="R24" s="76">
        <v>0</v>
      </c>
      <c r="S24" s="76">
        <v>0</v>
      </c>
      <c r="T24" s="76">
        <v>0</v>
      </c>
      <c r="U24" s="76">
        <v>0</v>
      </c>
      <c r="V24" s="76">
        <v>0</v>
      </c>
      <c r="W24" s="76">
        <v>0</v>
      </c>
      <c r="X24" s="76">
        <v>0</v>
      </c>
      <c r="Y24" s="76">
        <v>100</v>
      </c>
      <c r="Z24" s="76">
        <v>0</v>
      </c>
      <c r="AA24" s="76">
        <v>0</v>
      </c>
      <c r="AB24" s="76">
        <v>0</v>
      </c>
      <c r="AC24" s="76">
        <v>0</v>
      </c>
      <c r="AD24" s="76">
        <v>1</v>
      </c>
      <c r="AE24" s="76">
        <v>2.6</v>
      </c>
      <c r="AF24" s="76">
        <v>0.2</v>
      </c>
      <c r="AG24" s="76">
        <v>1</v>
      </c>
      <c r="AH24" s="76">
        <v>0.442</v>
      </c>
      <c r="AI24" s="76">
        <v>0.442</v>
      </c>
      <c r="AJ24" s="76">
        <v>0.442</v>
      </c>
      <c r="AO24" s="76" t="s">
        <v>104</v>
      </c>
      <c r="AP24" s="76">
        <v>0.69905064299999997</v>
      </c>
      <c r="AQ24" s="76">
        <v>0.68500000000000005</v>
      </c>
      <c r="AR24" s="76">
        <v>2.0099605999999999E-2</v>
      </c>
      <c r="AS24" s="76">
        <v>0.32600000000000001</v>
      </c>
      <c r="AT24" s="76">
        <v>1.17</v>
      </c>
      <c r="AU24" s="76">
        <v>0.92900000000000005</v>
      </c>
      <c r="AV24" s="76">
        <v>0.47499999999999998</v>
      </c>
      <c r="AW24" s="76">
        <v>0.63900000000000001</v>
      </c>
      <c r="AX24" s="76">
        <v>1.3562043800000001</v>
      </c>
      <c r="AY24" s="76">
        <v>0.69343065699999995</v>
      </c>
      <c r="AZ24" s="76">
        <v>0.71724068699999999</v>
      </c>
      <c r="BA24" s="76">
        <v>1.17</v>
      </c>
      <c r="BB24" s="76">
        <v>0.7</v>
      </c>
      <c r="BC24" s="76">
        <v>0.38700000000000001</v>
      </c>
      <c r="BD24" s="76">
        <v>0.65581770800000005</v>
      </c>
      <c r="BE24" s="76">
        <v>1.0900000000000001</v>
      </c>
      <c r="BF24" s="76">
        <v>0.64900000000000002</v>
      </c>
      <c r="BG24" s="76">
        <v>0.32600000000000001</v>
      </c>
      <c r="BH24" s="76">
        <f>IF(ISBLANK(AQ24),AJ24*'ratio of flow'!$D$1,AQ24)</f>
        <v>0.68500000000000005</v>
      </c>
      <c r="BI24" s="76">
        <f t="shared" si="4"/>
        <v>454.69156130735706</v>
      </c>
      <c r="BJ24" s="126">
        <f>IFERROR(VLOOKUP(AN24,'Scoring and Weighting'!$B$10:$C$12,2,FALSE),'Scoring and Weighting'!$C$13)</f>
        <v>70</v>
      </c>
      <c r="BK24" s="126">
        <f>VLOOKUP(BH24,'Scoring and Weighting'!$C$19:$F$23,4)</f>
        <v>100</v>
      </c>
      <c r="BL24" s="127">
        <f t="shared" si="1"/>
        <v>69.343065699999997</v>
      </c>
      <c r="BM24" s="126">
        <f>VLOOKUP('MasterGISTable with Scoring'!BI24,'Scoring and Weighting'!$C$35:$F$39,4,1)</f>
        <v>90</v>
      </c>
      <c r="BN24" s="126">
        <f t="shared" si="5"/>
        <v>20</v>
      </c>
      <c r="BO24" s="128">
        <f>IFERROR(VLOOKUP(AK24,'Scoring and Weighting'!$B$63:$C$65,2,FALSE),1)</f>
        <v>1</v>
      </c>
      <c r="BP24" s="129">
        <f>BJ24*'Scoring and Weighting'!$C$55*'MasterGISTable with Scoring'!BO24</f>
        <v>17.5</v>
      </c>
      <c r="BQ24" s="129">
        <f>BK24*BO24*'Scoring and Weighting'!$C$56</f>
        <v>25</v>
      </c>
      <c r="BR24" s="129">
        <f>BO24*BL24*'Scoring and Weighting'!$C$57</f>
        <v>17.335766424999999</v>
      </c>
      <c r="BS24" s="129">
        <f>BO24*BM24*'Scoring and Weighting'!$C$58</f>
        <v>9</v>
      </c>
      <c r="BT24" s="129">
        <f>BO24*BN24*'Scoring and Weighting'!$C$59</f>
        <v>3</v>
      </c>
      <c r="BU24" s="127">
        <f t="shared" si="3"/>
        <v>71.835766425000003</v>
      </c>
    </row>
    <row r="25" spans="1:73" x14ac:dyDescent="0.25">
      <c r="R25"/>
      <c r="S25"/>
      <c r="T25"/>
      <c r="U25"/>
      <c r="V25"/>
      <c r="W25"/>
      <c r="X25"/>
      <c r="Y25"/>
      <c r="Z25"/>
      <c r="AA25"/>
      <c r="AB25"/>
      <c r="AC25"/>
      <c r="BL25" s="16"/>
      <c r="BO25" s="15"/>
      <c r="BP25" s="26"/>
      <c r="BQ25" s="26"/>
      <c r="BR25" s="26"/>
      <c r="BS25" s="26"/>
      <c r="BT25" s="26"/>
      <c r="BU25" s="24"/>
    </row>
    <row r="26" spans="1:73" x14ac:dyDescent="0.25">
      <c r="R26"/>
      <c r="S26"/>
      <c r="T26"/>
      <c r="U26"/>
      <c r="V26"/>
      <c r="W26"/>
      <c r="X26"/>
      <c r="Y26"/>
      <c r="Z26"/>
      <c r="AA26"/>
      <c r="AB26"/>
      <c r="AC26"/>
      <c r="BL26" s="16"/>
      <c r="BO26" s="15"/>
      <c r="BP26" s="26"/>
      <c r="BQ26" s="26"/>
      <c r="BR26" s="26"/>
      <c r="BS26" s="26"/>
      <c r="BT26" s="26"/>
      <c r="BU26" s="24"/>
    </row>
    <row r="27" spans="1:73" x14ac:dyDescent="0.25">
      <c r="R27"/>
      <c r="S27"/>
      <c r="T27"/>
      <c r="U27"/>
      <c r="V27"/>
      <c r="W27"/>
      <c r="X27"/>
      <c r="Y27"/>
      <c r="Z27"/>
      <c r="AA27"/>
      <c r="AB27"/>
      <c r="AC27"/>
      <c r="BL27" s="16"/>
      <c r="BO27" s="15"/>
      <c r="BP27" s="26"/>
      <c r="BQ27" s="26"/>
      <c r="BR27" s="26"/>
      <c r="BS27" s="26"/>
      <c r="BT27" s="26"/>
      <c r="BU27" s="24"/>
    </row>
    <row r="28" spans="1:73" x14ac:dyDescent="0.25">
      <c r="R28"/>
      <c r="S28"/>
      <c r="T28"/>
      <c r="U28"/>
      <c r="V28"/>
      <c r="W28"/>
      <c r="X28"/>
      <c r="Y28"/>
      <c r="Z28"/>
      <c r="AA28"/>
      <c r="AB28"/>
      <c r="AC28"/>
      <c r="BL28" s="16"/>
      <c r="BO28" s="15"/>
      <c r="BP28" s="26"/>
      <c r="BQ28" s="26"/>
      <c r="BR28" s="26"/>
      <c r="BS28" s="26"/>
      <c r="BT28" s="26"/>
      <c r="BU28" s="24"/>
    </row>
    <row r="29" spans="1:73" x14ac:dyDescent="0.25">
      <c r="R29"/>
      <c r="S29"/>
      <c r="T29"/>
      <c r="U29"/>
      <c r="V29"/>
      <c r="W29"/>
      <c r="X29"/>
      <c r="Y29"/>
      <c r="Z29"/>
      <c r="AA29"/>
      <c r="AB29"/>
      <c r="AC29"/>
      <c r="BL29" s="16"/>
      <c r="BO29" s="15"/>
      <c r="BP29" s="26"/>
      <c r="BQ29" s="26"/>
      <c r="BR29" s="26"/>
      <c r="BS29" s="26"/>
      <c r="BT29" s="26"/>
      <c r="BU29" s="24"/>
    </row>
    <row r="30" spans="1:73" x14ac:dyDescent="0.25">
      <c r="R30"/>
      <c r="S30"/>
      <c r="T30"/>
      <c r="U30"/>
      <c r="V30"/>
      <c r="W30"/>
      <c r="X30"/>
      <c r="Y30"/>
      <c r="Z30"/>
      <c r="AA30"/>
      <c r="AB30"/>
      <c r="AC30"/>
      <c r="BL30" s="16"/>
      <c r="BO30" s="15"/>
      <c r="BP30" s="26"/>
      <c r="BQ30" s="26"/>
      <c r="BR30" s="26"/>
      <c r="BS30" s="26"/>
      <c r="BT30" s="26"/>
      <c r="BU30" s="24"/>
    </row>
    <row r="31" spans="1:73" x14ac:dyDescent="0.25">
      <c r="R31"/>
      <c r="S31"/>
      <c r="T31"/>
      <c r="U31"/>
      <c r="V31"/>
      <c r="W31"/>
      <c r="X31"/>
      <c r="Y31"/>
      <c r="Z31"/>
      <c r="AA31"/>
      <c r="AB31"/>
      <c r="AC31"/>
      <c r="BL31" s="16"/>
      <c r="BO31" s="15"/>
      <c r="BP31" s="26"/>
      <c r="BQ31" s="26"/>
      <c r="BR31" s="26"/>
      <c r="BS31" s="26"/>
      <c r="BT31" s="26"/>
      <c r="BU31" s="24"/>
    </row>
  </sheetData>
  <sortState xmlns:xlrd2="http://schemas.microsoft.com/office/spreadsheetml/2017/richdata2" ref="A2:BG25">
    <sortCondition ref="AQ2:AQ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CC131"/>
  <sheetViews>
    <sheetView view="pageBreakPreview" zoomScale="70" zoomScaleNormal="40" zoomScaleSheetLayoutView="70" workbookViewId="0">
      <selection activeCell="A7" sqref="A7:P7"/>
    </sheetView>
  </sheetViews>
  <sheetFormatPr defaultRowHeight="15" x14ac:dyDescent="0.25"/>
  <cols>
    <col min="1" max="1" width="21.85546875" customWidth="1"/>
    <col min="2" max="2" width="17.7109375" customWidth="1"/>
    <col min="3" max="8" width="9.140625" hidden="1" customWidth="1"/>
    <col min="9" max="9" width="29.140625" hidden="1" customWidth="1"/>
    <col min="10" max="10" width="15.7109375" hidden="1" customWidth="1"/>
    <col min="11" max="11" width="24.7109375" customWidth="1"/>
    <col min="12" max="12" width="15" hidden="1" customWidth="1"/>
    <col min="13" max="13" width="21" hidden="1" customWidth="1"/>
    <col min="14" max="14" width="23.140625" customWidth="1"/>
    <col min="15" max="15" width="23.140625" hidden="1" customWidth="1"/>
    <col min="16" max="16" width="21" customWidth="1"/>
    <col min="17" max="17" width="24.140625" style="6" customWidth="1"/>
    <col min="18" max="29" width="17.140625" customWidth="1"/>
    <col min="30" max="30" width="9.140625" hidden="1" customWidth="1"/>
    <col min="31" max="35" width="11.7109375" hidden="1" customWidth="1"/>
    <col min="36" max="36" width="18.85546875" style="18" hidden="1" customWidth="1"/>
    <col min="37" max="37" width="16.7109375" style="28" hidden="1" customWidth="1"/>
    <col min="38" max="38" width="17.85546875" style="28" hidden="1" customWidth="1"/>
    <col min="39" max="42" width="21.85546875" style="28" hidden="1" customWidth="1"/>
    <col min="43" max="43" width="13.85546875" style="27" hidden="1" customWidth="1"/>
    <col min="44" max="44" width="2.5703125" style="27" hidden="1" customWidth="1"/>
    <col min="45" max="45" width="16.42578125" style="27" hidden="1" customWidth="1"/>
    <col min="46" max="48" width="13.85546875" style="27" hidden="1" customWidth="1"/>
    <col min="49" max="49" width="14.85546875" style="27" hidden="1" customWidth="1"/>
    <col min="50" max="52" width="13.85546875" style="27" hidden="1" customWidth="1"/>
    <col min="53" max="53" width="15" style="27" hidden="1" customWidth="1"/>
    <col min="54" max="61" width="13.85546875" hidden="1" customWidth="1"/>
    <col min="62" max="67" width="15.7109375" style="14" hidden="1" customWidth="1"/>
    <col min="68" max="72" width="15.7109375" style="22" hidden="1" customWidth="1"/>
    <col min="73" max="73" width="15.140625" style="25" hidden="1" customWidth="1"/>
    <col min="76" max="76" width="18.28515625" customWidth="1"/>
  </cols>
  <sheetData>
    <row r="1" spans="1:81" ht="18.75" x14ac:dyDescent="0.3">
      <c r="A1" s="123" t="s">
        <v>545</v>
      </c>
      <c r="R1" s="124">
        <v>1</v>
      </c>
      <c r="S1" s="124">
        <v>2</v>
      </c>
      <c r="T1" s="124">
        <v>3</v>
      </c>
      <c r="U1" s="124">
        <v>4</v>
      </c>
      <c r="V1" s="124">
        <v>5</v>
      </c>
      <c r="W1" s="124">
        <v>6</v>
      </c>
      <c r="X1" s="124">
        <v>7</v>
      </c>
      <c r="Y1" s="124">
        <v>8</v>
      </c>
      <c r="Z1" s="124">
        <v>9</v>
      </c>
      <c r="AA1" s="124">
        <v>10</v>
      </c>
      <c r="AB1" s="124">
        <v>11</v>
      </c>
      <c r="AC1" s="124">
        <v>12</v>
      </c>
      <c r="AD1">
        <v>1200</v>
      </c>
      <c r="AE1">
        <v>1300</v>
      </c>
      <c r="AF1">
        <v>1400</v>
      </c>
      <c r="AG1">
        <v>1500</v>
      </c>
      <c r="AH1">
        <v>1600</v>
      </c>
      <c r="AI1">
        <v>1700</v>
      </c>
      <c r="AJ1">
        <v>1800</v>
      </c>
      <c r="AK1">
        <v>1900</v>
      </c>
      <c r="AL1">
        <v>2000</v>
      </c>
      <c r="AM1">
        <v>2100</v>
      </c>
      <c r="AN1">
        <v>2200</v>
      </c>
      <c r="AO1">
        <v>2300</v>
      </c>
      <c r="AP1">
        <v>2400</v>
      </c>
      <c r="AQ1">
        <v>2500</v>
      </c>
      <c r="AR1">
        <v>2600</v>
      </c>
      <c r="AS1">
        <v>2700</v>
      </c>
      <c r="AT1">
        <v>2800</v>
      </c>
      <c r="AU1">
        <v>2900</v>
      </c>
      <c r="AV1">
        <v>3000</v>
      </c>
      <c r="AW1">
        <v>3100</v>
      </c>
      <c r="AX1">
        <v>3200</v>
      </c>
      <c r="AY1">
        <v>3300</v>
      </c>
      <c r="AZ1">
        <v>3400</v>
      </c>
      <c r="BA1">
        <v>3500</v>
      </c>
      <c r="BB1">
        <v>3600</v>
      </c>
      <c r="BC1">
        <v>3700</v>
      </c>
      <c r="BD1">
        <v>3800</v>
      </c>
      <c r="BE1">
        <v>3900</v>
      </c>
      <c r="BF1">
        <v>4000</v>
      </c>
      <c r="BG1">
        <v>4100</v>
      </c>
      <c r="BH1">
        <v>4200</v>
      </c>
      <c r="BI1">
        <v>4300</v>
      </c>
      <c r="BJ1">
        <v>4400</v>
      </c>
      <c r="BK1">
        <v>4500</v>
      </c>
      <c r="BL1">
        <v>4600</v>
      </c>
      <c r="BM1">
        <v>4700</v>
      </c>
      <c r="BN1">
        <v>4800</v>
      </c>
      <c r="BO1">
        <v>4900</v>
      </c>
      <c r="BP1">
        <v>5000</v>
      </c>
      <c r="BQ1">
        <v>5100</v>
      </c>
      <c r="BR1">
        <v>5200</v>
      </c>
      <c r="BS1">
        <v>5300</v>
      </c>
      <c r="BT1">
        <v>5400</v>
      </c>
      <c r="BU1">
        <v>5500</v>
      </c>
    </row>
    <row r="2" spans="1:81" s="32" customFormat="1" ht="21" x14ac:dyDescent="0.35">
      <c r="A2" s="134" t="s">
        <v>361</v>
      </c>
      <c r="B2" s="135"/>
      <c r="C2" s="135"/>
      <c r="D2" s="135"/>
      <c r="E2" s="135"/>
      <c r="F2" s="135"/>
      <c r="G2" s="135"/>
      <c r="H2" s="135"/>
      <c r="I2" s="135"/>
      <c r="J2" s="135"/>
      <c r="K2" s="136"/>
      <c r="L2" s="51"/>
      <c r="M2" s="51"/>
      <c r="N2" s="70" t="s">
        <v>359</v>
      </c>
      <c r="O2" s="85"/>
      <c r="P2" s="85"/>
      <c r="Q2" s="85"/>
      <c r="R2" s="134" t="s">
        <v>384</v>
      </c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6"/>
      <c r="AD2" s="51"/>
      <c r="AE2" s="51"/>
      <c r="AF2" s="51"/>
      <c r="AG2" s="51"/>
      <c r="AH2" s="51"/>
      <c r="AI2" s="51"/>
      <c r="AJ2" s="51"/>
      <c r="AK2" s="137" t="s">
        <v>358</v>
      </c>
      <c r="AL2" s="137"/>
      <c r="AM2" s="137"/>
      <c r="AN2" s="137"/>
      <c r="AO2" s="137"/>
      <c r="AP2" s="137"/>
      <c r="AQ2" s="138" t="s">
        <v>357</v>
      </c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31"/>
      <c r="BC2" s="31"/>
      <c r="BD2" s="31"/>
      <c r="BE2" s="31"/>
      <c r="BF2" s="31"/>
      <c r="BG2" s="31"/>
      <c r="BH2" s="31"/>
      <c r="BI2" s="31"/>
      <c r="BJ2" s="139" t="s">
        <v>355</v>
      </c>
      <c r="BK2" s="139"/>
      <c r="BL2" s="139"/>
      <c r="BM2" s="139"/>
      <c r="BN2" s="139"/>
      <c r="BO2" s="139"/>
      <c r="BP2" s="140" t="s">
        <v>356</v>
      </c>
      <c r="BQ2" s="140"/>
      <c r="BR2" s="140"/>
      <c r="BS2" s="140"/>
      <c r="BT2" s="140"/>
      <c r="BU2" s="140"/>
    </row>
    <row r="3" spans="1:81" ht="90" x14ac:dyDescent="0.25">
      <c r="A3" s="52" t="s">
        <v>341</v>
      </c>
      <c r="B3" s="52" t="s">
        <v>336</v>
      </c>
      <c r="C3" s="52" t="s">
        <v>338</v>
      </c>
      <c r="D3" s="52" t="s">
        <v>337</v>
      </c>
      <c r="E3" s="52" t="s">
        <v>5</v>
      </c>
      <c r="F3" s="52" t="s">
        <v>6</v>
      </c>
      <c r="G3" s="52" t="s">
        <v>7</v>
      </c>
      <c r="H3" s="52" t="s">
        <v>8</v>
      </c>
      <c r="I3" s="52" t="s">
        <v>340</v>
      </c>
      <c r="J3" s="52" t="s">
        <v>10</v>
      </c>
      <c r="K3" s="52" t="s">
        <v>11</v>
      </c>
      <c r="L3" s="52" t="s">
        <v>12</v>
      </c>
      <c r="M3" s="52" t="s">
        <v>13</v>
      </c>
      <c r="N3" s="52" t="s">
        <v>339</v>
      </c>
      <c r="O3" s="69" t="s">
        <v>525</v>
      </c>
      <c r="P3" s="52" t="s">
        <v>526</v>
      </c>
      <c r="Q3" s="52" t="s">
        <v>528</v>
      </c>
      <c r="R3" s="52" t="s">
        <v>393</v>
      </c>
      <c r="S3" s="52" t="s">
        <v>84</v>
      </c>
      <c r="T3" s="52" t="s">
        <v>385</v>
      </c>
      <c r="U3" s="52" t="s">
        <v>386</v>
      </c>
      <c r="V3" s="52" t="s">
        <v>387</v>
      </c>
      <c r="W3" s="52" t="s">
        <v>388</v>
      </c>
      <c r="X3" s="52" t="s">
        <v>389</v>
      </c>
      <c r="Y3" s="52" t="s">
        <v>390</v>
      </c>
      <c r="Z3" s="52" t="s">
        <v>391</v>
      </c>
      <c r="AA3" s="52" t="s">
        <v>392</v>
      </c>
      <c r="AB3" s="52" t="s">
        <v>180</v>
      </c>
      <c r="AC3" s="52" t="s">
        <v>524</v>
      </c>
      <c r="AD3" s="74" t="s">
        <v>276</v>
      </c>
      <c r="AE3" s="52" t="s">
        <v>277</v>
      </c>
      <c r="AF3" s="52" t="s">
        <v>278</v>
      </c>
      <c r="AG3" s="52" t="s">
        <v>279</v>
      </c>
      <c r="AH3" s="52" t="s">
        <v>280</v>
      </c>
      <c r="AI3" s="52" t="s">
        <v>281</v>
      </c>
      <c r="AJ3" s="36" t="s">
        <v>349</v>
      </c>
      <c r="AK3" s="37" t="s">
        <v>342</v>
      </c>
      <c r="AL3" s="37" t="s">
        <v>354</v>
      </c>
      <c r="AM3" s="37" t="s">
        <v>343</v>
      </c>
      <c r="AN3" s="37" t="s">
        <v>344</v>
      </c>
      <c r="AO3" s="37" t="s">
        <v>345</v>
      </c>
      <c r="AP3" s="37" t="s">
        <v>346</v>
      </c>
      <c r="AQ3" s="55" t="s">
        <v>348</v>
      </c>
      <c r="AR3" s="55" t="s">
        <v>30</v>
      </c>
      <c r="AS3" s="55" t="s">
        <v>347</v>
      </c>
      <c r="AT3" s="55" t="s">
        <v>32</v>
      </c>
      <c r="AU3" s="55" t="s">
        <v>33</v>
      </c>
      <c r="AV3" s="55" t="s">
        <v>34</v>
      </c>
      <c r="AW3" s="55" t="s">
        <v>351</v>
      </c>
      <c r="AX3" s="55" t="s">
        <v>350</v>
      </c>
      <c r="AY3" s="55" t="s">
        <v>37</v>
      </c>
      <c r="AZ3" s="55" t="s">
        <v>352</v>
      </c>
      <c r="BA3" s="55" t="s">
        <v>353</v>
      </c>
      <c r="BB3" s="52" t="s">
        <v>40</v>
      </c>
      <c r="BC3" s="52" t="s">
        <v>41</v>
      </c>
      <c r="BD3" s="52" t="s">
        <v>42</v>
      </c>
      <c r="BE3" s="52" t="s">
        <v>43</v>
      </c>
      <c r="BF3" s="52" t="s">
        <v>44</v>
      </c>
      <c r="BG3" s="52" t="s">
        <v>45</v>
      </c>
      <c r="BH3" s="52" t="s">
        <v>46</v>
      </c>
      <c r="BI3" s="52" t="s">
        <v>47</v>
      </c>
      <c r="BJ3" s="38" t="s">
        <v>329</v>
      </c>
      <c r="BK3" s="38" t="s">
        <v>310</v>
      </c>
      <c r="BL3" s="38" t="s">
        <v>311</v>
      </c>
      <c r="BM3" s="38" t="s">
        <v>312</v>
      </c>
      <c r="BN3" s="38" t="s">
        <v>333</v>
      </c>
      <c r="BO3" s="38" t="s">
        <v>309</v>
      </c>
      <c r="BP3" s="39" t="s">
        <v>328</v>
      </c>
      <c r="BQ3" s="39" t="s">
        <v>330</v>
      </c>
      <c r="BR3" s="39" t="s">
        <v>331</v>
      </c>
      <c r="BS3" s="39" t="s">
        <v>332</v>
      </c>
      <c r="BT3" s="39" t="s">
        <v>334</v>
      </c>
      <c r="BU3" s="40" t="s">
        <v>319</v>
      </c>
      <c r="CB3">
        <v>1</v>
      </c>
      <c r="CC3" t="s">
        <v>393</v>
      </c>
    </row>
    <row r="4" spans="1:81" x14ac:dyDescent="0.25">
      <c r="A4" s="35" t="s">
        <v>195</v>
      </c>
      <c r="B4" s="35">
        <v>36</v>
      </c>
      <c r="C4" s="75">
        <v>42578.867442129631</v>
      </c>
      <c r="D4" s="35" t="s">
        <v>394</v>
      </c>
      <c r="E4" s="35"/>
      <c r="F4" s="35"/>
      <c r="G4" s="35">
        <v>9007</v>
      </c>
      <c r="H4" s="35" t="s">
        <v>49</v>
      </c>
      <c r="I4" s="35">
        <v>1</v>
      </c>
      <c r="J4" s="35">
        <v>0</v>
      </c>
      <c r="K4" s="35" t="s">
        <v>84</v>
      </c>
      <c r="L4" s="35" t="s">
        <v>50</v>
      </c>
      <c r="M4" s="35" t="s">
        <v>395</v>
      </c>
      <c r="N4" s="30">
        <v>63.7580864499445</v>
      </c>
      <c r="O4">
        <f>ROUND(SUMPRODUCT(R4:AC4,$R$1:$AC$1)/100,0)</f>
        <v>5</v>
      </c>
      <c r="P4" s="73">
        <f>COUNTIF(R4:AC4,"&gt;"&amp;10)</f>
        <v>1</v>
      </c>
      <c r="Q4" s="73" t="str">
        <f>IF(P4&gt;1,"Multiple",VLOOKUP(O4,[1]Sheet1!$C$6:$D$17,2,0))</f>
        <v>Laguna Niguel</v>
      </c>
      <c r="R4" s="35">
        <v>0</v>
      </c>
      <c r="S4" s="35">
        <v>0</v>
      </c>
      <c r="T4" s="35">
        <v>0</v>
      </c>
      <c r="U4" s="35">
        <v>0</v>
      </c>
      <c r="V4" s="35">
        <v>100</v>
      </c>
      <c r="W4" s="35">
        <v>0</v>
      </c>
      <c r="X4" s="35">
        <v>0</v>
      </c>
      <c r="Y4" s="35">
        <v>0</v>
      </c>
      <c r="Z4" s="35">
        <v>0</v>
      </c>
      <c r="AA4" s="35">
        <v>0</v>
      </c>
      <c r="AB4" s="35">
        <v>0</v>
      </c>
      <c r="AC4" s="35">
        <v>0</v>
      </c>
      <c r="AD4">
        <v>0</v>
      </c>
      <c r="AE4">
        <v>0</v>
      </c>
      <c r="AF4">
        <v>0</v>
      </c>
      <c r="AG4">
        <v>0</v>
      </c>
      <c r="AH4" s="41">
        <v>5.0999999999999997E-2</v>
      </c>
      <c r="AI4" s="41">
        <v>0.113086956521739</v>
      </c>
      <c r="AJ4" s="53" t="e">
        <f>N4*#REF!/100</f>
        <v>#REF!</v>
      </c>
      <c r="AK4" s="43">
        <v>8.8695652173912995E-2</v>
      </c>
      <c r="AL4" s="43">
        <f t="shared" ref="AL4:AL67" si="0">IF(ISBLANK(AS4),AK4*SUM($AS$4:$AS$31)/SUM($AK$4:$AK$31),AS4)</f>
        <v>6.6000000000000003E-2</v>
      </c>
      <c r="AM4" s="44" t="s">
        <v>52</v>
      </c>
      <c r="AN4" s="44" t="s">
        <v>53</v>
      </c>
      <c r="AO4" s="44" t="s">
        <v>53</v>
      </c>
      <c r="AP4" s="44" t="s">
        <v>54</v>
      </c>
      <c r="AQ4" s="45" t="s">
        <v>55</v>
      </c>
      <c r="AR4" s="45">
        <v>6.9006286013619994E-2</v>
      </c>
      <c r="AS4" s="45">
        <v>6.6000000000000003E-2</v>
      </c>
      <c r="AT4" s="45">
        <v>4.3565393637130002E-2</v>
      </c>
      <c r="AU4" s="45">
        <v>0</v>
      </c>
      <c r="AV4" s="45">
        <v>0.45800000000000002</v>
      </c>
      <c r="AW4" s="45">
        <v>0.20100000000000001</v>
      </c>
      <c r="AX4" s="45">
        <v>1.55E-2</v>
      </c>
      <c r="AY4" s="45">
        <v>4.3999999999999997E-2</v>
      </c>
      <c r="AZ4" s="54">
        <v>3.0454545454545499</v>
      </c>
      <c r="BA4" s="54">
        <v>0.234848484848485</v>
      </c>
      <c r="BB4" s="41">
        <v>6.8313203300825007E-2</v>
      </c>
      <c r="BC4" s="41">
        <v>0.30499999999999999</v>
      </c>
      <c r="BD4" s="41">
        <v>6.5000000000000002E-2</v>
      </c>
      <c r="BE4" s="41">
        <v>0</v>
      </c>
      <c r="BF4" s="41">
        <v>7.0610243055554994E-2</v>
      </c>
      <c r="BG4" s="41">
        <v>0.45800000000000002</v>
      </c>
      <c r="BH4" s="41">
        <v>6.7000000000000004E-2</v>
      </c>
      <c r="BI4" s="41">
        <v>1.2E-2</v>
      </c>
      <c r="BJ4" s="46">
        <f>IFERROR(VLOOKUP(AP4,'Scoring and Weighting'!$B$10:$C$12,2,FALSE),'Scoring and Weighting'!$C$13)</f>
        <v>100</v>
      </c>
      <c r="BK4" s="46">
        <f>VLOOKUP(AL4,'Scoring and Weighting'!$C$19:$F$23,4)</f>
        <v>70</v>
      </c>
      <c r="BL4" s="47">
        <f t="shared" ref="BL4:BL67" si="1">IF(ISBLANK(BA4),40,BA4*100)</f>
        <v>23.484848484848499</v>
      </c>
      <c r="BM4" s="46" t="e">
        <f>VLOOKUP('Table with Jurisdictions'!AJ4,'Scoring and Weighting'!$C$35:$F$39,4,1)</f>
        <v>#REF!</v>
      </c>
      <c r="BN4" s="46">
        <f t="shared" ref="BN4:BN67" si="2">IF(AND(AD4&gt;1,AS4&gt;0,ISTEXT(AM4)),100,IF(AND(AS4&gt;0,ISTEXT(AM4)),80,IF(AND(AD4&gt;1,ISTEXT(AM4)),60,IF(AD4&gt;1,40,20))))</f>
        <v>80</v>
      </c>
      <c r="BO4" s="48">
        <f>IFERROR(VLOOKUP(AM4,'Scoring and Weighting'!$B$63:$C$65,2,FALSE),1)</f>
        <v>1</v>
      </c>
      <c r="BP4" s="49">
        <f>BJ4*'Scoring and Weighting'!$C$55*'Table with Jurisdictions'!BO4</f>
        <v>25</v>
      </c>
      <c r="BQ4" s="49">
        <f>BK4*BO4*'Scoring and Weighting'!$C$56</f>
        <v>17.5</v>
      </c>
      <c r="BR4" s="49">
        <f>BO4*BL4*'Scoring and Weighting'!$C$57</f>
        <v>5.8712121212121247</v>
      </c>
      <c r="BS4" s="49" t="e">
        <f>BO4*BM4*'Scoring and Weighting'!$C$58</f>
        <v>#REF!</v>
      </c>
      <c r="BT4" s="49">
        <f>BO4*BN4*'Scoring and Weighting'!$C$59</f>
        <v>12</v>
      </c>
      <c r="BU4" s="50" t="e">
        <f>SUM(BP4:BT4)</f>
        <v>#REF!</v>
      </c>
      <c r="BX4" s="30">
        <f>ROUND(SUMPRODUCT(R4:AC4,$R$1:$AC$1)/100,0)</f>
        <v>5</v>
      </c>
      <c r="CB4">
        <v>2</v>
      </c>
      <c r="CC4" t="s">
        <v>84</v>
      </c>
    </row>
    <row r="5" spans="1:81" x14ac:dyDescent="0.25">
      <c r="A5" s="35" t="s">
        <v>264</v>
      </c>
      <c r="B5" s="35">
        <v>96</v>
      </c>
      <c r="C5" s="75">
        <v>42578.865752314814</v>
      </c>
      <c r="D5" s="35" t="s">
        <v>394</v>
      </c>
      <c r="E5" s="35"/>
      <c r="F5" s="35"/>
      <c r="G5" s="35">
        <v>9221</v>
      </c>
      <c r="H5" s="35" t="s">
        <v>57</v>
      </c>
      <c r="I5" s="35">
        <v>1</v>
      </c>
      <c r="J5" s="35">
        <v>0</v>
      </c>
      <c r="K5" s="35" t="s">
        <v>64</v>
      </c>
      <c r="L5" s="35" t="s">
        <v>50</v>
      </c>
      <c r="M5" s="35" t="s">
        <v>396</v>
      </c>
      <c r="N5" s="30">
        <v>926.34500026169906</v>
      </c>
      <c r="O5">
        <f t="shared" ref="O5:O68" si="3">ROUND(SUMPRODUCT(R5:AC5,$R$1:$AC$1)/100,0)</f>
        <v>10</v>
      </c>
      <c r="P5" s="73">
        <f t="shared" ref="P5" si="4">COUNTIF(R5:AC5,"&gt;"&amp;10)</f>
        <v>1</v>
      </c>
      <c r="Q5" s="73" t="str">
        <f>IF(P5&gt;1,"Multiple",VLOOKUP(O5,[1]Sheet1!$C$6:$D$17,2,0))</f>
        <v>Rancho Santa Margarita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1</v>
      </c>
      <c r="AA5" s="35">
        <v>99</v>
      </c>
      <c r="AB5" s="35">
        <v>0</v>
      </c>
      <c r="AC5" s="35">
        <v>0</v>
      </c>
      <c r="AD5">
        <v>0</v>
      </c>
      <c r="AE5">
        <v>0</v>
      </c>
      <c r="AF5">
        <v>0</v>
      </c>
      <c r="AG5">
        <v>0</v>
      </c>
      <c r="AH5" s="41">
        <v>0.13600000000000001</v>
      </c>
      <c r="AI5" s="41">
        <v>0.1547</v>
      </c>
      <c r="AJ5" s="53" t="e">
        <f>N5*#REF!/100</f>
        <v>#REF!</v>
      </c>
      <c r="AK5" s="43">
        <v>0.14535000000000001</v>
      </c>
      <c r="AL5" s="43">
        <f t="shared" si="0"/>
        <v>0.21099999999999999</v>
      </c>
      <c r="AM5" s="44"/>
      <c r="AN5" s="44"/>
      <c r="AO5" s="44"/>
      <c r="AP5" s="44"/>
      <c r="AQ5" s="45" t="s">
        <v>59</v>
      </c>
      <c r="AR5" s="45">
        <v>0.218716962843296</v>
      </c>
      <c r="AS5" s="45">
        <v>0.21099999999999999</v>
      </c>
      <c r="AT5" s="45">
        <v>3.5282873093041997E-2</v>
      </c>
      <c r="AU5" s="45">
        <v>0.105</v>
      </c>
      <c r="AV5" s="45">
        <v>0.621</v>
      </c>
      <c r="AW5" s="45">
        <v>0.372</v>
      </c>
      <c r="AX5" s="45">
        <v>0.1245</v>
      </c>
      <c r="AY5" s="45">
        <v>0.14699999999999999</v>
      </c>
      <c r="AZ5" s="54">
        <v>1.76303317535545</v>
      </c>
      <c r="BA5" s="54">
        <v>0.59004739336492895</v>
      </c>
      <c r="BB5" s="41">
        <v>0.222329274004684</v>
      </c>
      <c r="BC5" s="41">
        <v>0.621</v>
      </c>
      <c r="BD5" s="41">
        <v>0.214</v>
      </c>
      <c r="BE5" s="41">
        <v>0.105</v>
      </c>
      <c r="BF5" s="41">
        <v>0.210683333333333</v>
      </c>
      <c r="BG5" s="41">
        <v>0.47</v>
      </c>
      <c r="BH5" s="41">
        <v>0.20499999999999999</v>
      </c>
      <c r="BI5" s="41">
        <v>0.108</v>
      </c>
      <c r="BJ5" s="46">
        <f>IFERROR(VLOOKUP(AP5,'Scoring and Weighting'!$B$10:$C$12,2,FALSE),'Scoring and Weighting'!$C$13)</f>
        <v>70</v>
      </c>
      <c r="BK5" s="46">
        <f>VLOOKUP(AL5,'Scoring and Weighting'!$C$19:$F$23,4)</f>
        <v>100</v>
      </c>
      <c r="BL5" s="47">
        <f t="shared" si="1"/>
        <v>59.004739336492896</v>
      </c>
      <c r="BM5" s="46" t="e">
        <f>VLOOKUP('Table with Jurisdictions'!AJ5,'Scoring and Weighting'!$C$35:$F$39,4,1)</f>
        <v>#REF!</v>
      </c>
      <c r="BN5" s="46">
        <f t="shared" si="2"/>
        <v>20</v>
      </c>
      <c r="BO5" s="48">
        <f>IFERROR(VLOOKUP(AM5,'Scoring and Weighting'!$B$63:$C$65,2,FALSE),1)</f>
        <v>1</v>
      </c>
      <c r="BP5" s="49">
        <f>BJ5*'Scoring and Weighting'!$C$55*'Table with Jurisdictions'!BO5</f>
        <v>17.5</v>
      </c>
      <c r="BQ5" s="49">
        <f>BK5*BO5*'Scoring and Weighting'!$C$56</f>
        <v>25</v>
      </c>
      <c r="BR5" s="49">
        <f>BO5*BL5*'Scoring and Weighting'!$C$57</f>
        <v>14.751184834123224</v>
      </c>
      <c r="BS5" s="49" t="e">
        <f>BO5*BM5*'Scoring and Weighting'!$C$58</f>
        <v>#REF!</v>
      </c>
      <c r="BT5" s="49">
        <f>BO5*BN5*'Scoring and Weighting'!$C$59</f>
        <v>3</v>
      </c>
      <c r="BU5" s="50" t="e">
        <f t="shared" ref="BU5:BU68" si="5">SUM(BP5:BT5)</f>
        <v>#REF!</v>
      </c>
      <c r="BX5" s="30">
        <f t="shared" ref="BX5:BX35" si="6">ROUND(SUMPRODUCT(R5:AC5,$R$1:$AC$1)/100,0)</f>
        <v>10</v>
      </c>
      <c r="CB5">
        <v>3</v>
      </c>
      <c r="CC5" t="s">
        <v>385</v>
      </c>
    </row>
    <row r="6" spans="1:81" x14ac:dyDescent="0.25">
      <c r="A6" s="35" t="s">
        <v>426</v>
      </c>
      <c r="B6" s="35">
        <v>36</v>
      </c>
      <c r="C6" s="75">
        <v>42570.94771990741</v>
      </c>
      <c r="D6" s="35" t="s">
        <v>394</v>
      </c>
      <c r="E6" s="35"/>
      <c r="F6" s="35"/>
      <c r="G6" s="35">
        <v>166</v>
      </c>
      <c r="H6" s="35" t="s">
        <v>62</v>
      </c>
      <c r="I6" s="35">
        <v>1</v>
      </c>
      <c r="J6" s="35">
        <v>0</v>
      </c>
      <c r="K6" s="35" t="s">
        <v>51</v>
      </c>
      <c r="L6" s="35" t="s">
        <v>50</v>
      </c>
      <c r="M6" s="35" t="s">
        <v>397</v>
      </c>
      <c r="N6" s="30">
        <v>30.689455330825201</v>
      </c>
      <c r="O6">
        <f t="shared" si="3"/>
        <v>6</v>
      </c>
      <c r="P6" s="73">
        <f>COUNTIF(R6:AC6,"&gt;"&amp;10)</f>
        <v>1</v>
      </c>
      <c r="Q6" s="73" t="str">
        <f>IF(P6&gt;1,"Multiple",VLOOKUP(O6,[1]Sheet1!$C$6:$D$17,2,0))</f>
        <v>Laguna Woods</v>
      </c>
      <c r="R6" s="35">
        <v>0</v>
      </c>
      <c r="S6" s="35">
        <v>0</v>
      </c>
      <c r="T6" s="35">
        <v>0</v>
      </c>
      <c r="U6" s="35">
        <v>5</v>
      </c>
      <c r="V6" s="35">
        <v>0</v>
      </c>
      <c r="W6" s="35">
        <v>95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>
        <v>0</v>
      </c>
      <c r="AE6">
        <v>0</v>
      </c>
      <c r="AF6">
        <v>99</v>
      </c>
      <c r="AG6">
        <v>0</v>
      </c>
      <c r="AH6" s="41">
        <v>7.8539999999999999E-2</v>
      </c>
      <c r="AI6" s="41">
        <v>7.8539999999999999E-2</v>
      </c>
      <c r="AJ6" s="53" t="e">
        <f>N6*#REF!/100</f>
        <v>#REF!</v>
      </c>
      <c r="AK6" s="43">
        <v>7.8539999999999999E-2</v>
      </c>
      <c r="AL6" s="43">
        <f t="shared" si="0"/>
        <v>0.05</v>
      </c>
      <c r="AM6" s="44"/>
      <c r="AN6" s="44"/>
      <c r="AO6" s="44"/>
      <c r="AP6" s="44"/>
      <c r="AQ6" s="45" t="s">
        <v>65</v>
      </c>
      <c r="AR6" s="45">
        <v>5.2055790108565002E-2</v>
      </c>
      <c r="AS6" s="45">
        <v>0.05</v>
      </c>
      <c r="AT6" s="45">
        <v>3.9492054664373E-2</v>
      </c>
      <c r="AU6" s="45">
        <v>4.0000000000000001E-3</v>
      </c>
      <c r="AV6" s="45">
        <v>0.44</v>
      </c>
      <c r="AW6" s="45">
        <v>0.11899999999999999</v>
      </c>
      <c r="AX6" s="45">
        <v>1.2999999999999999E-2</v>
      </c>
      <c r="AY6" s="45">
        <v>6.6000000000000003E-2</v>
      </c>
      <c r="AZ6" s="54">
        <v>2.38</v>
      </c>
      <c r="BA6" s="54">
        <v>0.26</v>
      </c>
      <c r="BB6" s="41">
        <v>5.1021259198692E-2</v>
      </c>
      <c r="BC6" s="41">
        <v>0.44</v>
      </c>
      <c r="BD6" s="41">
        <v>0.05</v>
      </c>
      <c r="BE6" s="41">
        <v>4.0000000000000001E-3</v>
      </c>
      <c r="BF6" s="41">
        <v>5.4964367816092E-2</v>
      </c>
      <c r="BG6" s="41">
        <v>0.4</v>
      </c>
      <c r="BH6" s="41">
        <v>5.0999999999999997E-2</v>
      </c>
      <c r="BI6" s="41">
        <v>5.0000000000000001E-3</v>
      </c>
      <c r="BJ6" s="46">
        <f>IFERROR(VLOOKUP(AP6,'Scoring and Weighting'!$B$10:$C$12,2,FALSE),'Scoring and Weighting'!$C$13)</f>
        <v>70</v>
      </c>
      <c r="BK6" s="46">
        <f>VLOOKUP(AL6,'Scoring and Weighting'!$C$19:$F$23,4)</f>
        <v>70</v>
      </c>
      <c r="BL6" s="47">
        <f t="shared" si="1"/>
        <v>26</v>
      </c>
      <c r="BM6" s="46" t="e">
        <f>VLOOKUP('Table with Jurisdictions'!AJ6,'Scoring and Weighting'!$C$35:$F$39,4,1)</f>
        <v>#REF!</v>
      </c>
      <c r="BN6" s="46">
        <f t="shared" si="2"/>
        <v>20</v>
      </c>
      <c r="BO6" s="48">
        <f>IFERROR(VLOOKUP(AM6,'Scoring and Weighting'!$B$63:$C$65,2,FALSE),1)</f>
        <v>1</v>
      </c>
      <c r="BP6" s="49">
        <f>BJ6*'Scoring and Weighting'!$C$55*'Table with Jurisdictions'!BO6</f>
        <v>17.5</v>
      </c>
      <c r="BQ6" s="49">
        <f>BK6*BO6*'Scoring and Weighting'!$C$56</f>
        <v>17.5</v>
      </c>
      <c r="BR6" s="49">
        <f>BO6*BL6*'Scoring and Weighting'!$C$57</f>
        <v>6.5</v>
      </c>
      <c r="BS6" s="49" t="e">
        <f>BO6*BM6*'Scoring and Weighting'!$C$58</f>
        <v>#REF!</v>
      </c>
      <c r="BT6" s="49">
        <f>BO6*BN6*'Scoring and Weighting'!$C$59</f>
        <v>3</v>
      </c>
      <c r="BU6" s="50" t="e">
        <f t="shared" si="5"/>
        <v>#REF!</v>
      </c>
      <c r="BX6" s="30">
        <f t="shared" si="6"/>
        <v>6</v>
      </c>
      <c r="CB6">
        <v>4</v>
      </c>
      <c r="CC6" t="s">
        <v>386</v>
      </c>
    </row>
    <row r="7" spans="1:81" x14ac:dyDescent="0.25">
      <c r="A7" s="35" t="s">
        <v>249</v>
      </c>
      <c r="B7" s="35">
        <v>96</v>
      </c>
      <c r="C7" s="75">
        <v>42578.863067129627</v>
      </c>
      <c r="D7" s="35" t="s">
        <v>394</v>
      </c>
      <c r="E7" s="35"/>
      <c r="F7" s="35"/>
      <c r="G7" s="35">
        <v>374</v>
      </c>
      <c r="H7" s="35" t="s">
        <v>62</v>
      </c>
      <c r="I7" s="35">
        <v>1</v>
      </c>
      <c r="J7" s="35">
        <v>0</v>
      </c>
      <c r="K7" s="35" t="s">
        <v>64</v>
      </c>
      <c r="L7" s="35" t="s">
        <v>50</v>
      </c>
      <c r="M7" s="35" t="s">
        <v>398</v>
      </c>
      <c r="N7" s="30">
        <v>926.34500026169906</v>
      </c>
      <c r="O7">
        <f t="shared" si="3"/>
        <v>10</v>
      </c>
      <c r="P7" s="73">
        <f t="shared" ref="P7:P70" si="7">COUNTIF(R7:AC7,"&gt;"&amp;10)</f>
        <v>1</v>
      </c>
      <c r="Q7" s="73" t="str">
        <f>IF(P7&gt;1,"Multiple",VLOOKUP(O7,[1]Sheet1!$C$6:$D$17,2,0))</f>
        <v>Rancho Santa Margarita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1</v>
      </c>
      <c r="AA7" s="35">
        <v>99</v>
      </c>
      <c r="AB7" s="35">
        <v>0</v>
      </c>
      <c r="AC7" s="35">
        <v>0</v>
      </c>
      <c r="AD7">
        <v>0</v>
      </c>
      <c r="AE7">
        <v>0</v>
      </c>
      <c r="AF7">
        <v>0</v>
      </c>
      <c r="AG7">
        <v>0</v>
      </c>
      <c r="AH7" s="41">
        <v>0.58140000000000003</v>
      </c>
      <c r="AI7" s="41">
        <v>0.58140000000000003</v>
      </c>
      <c r="AJ7" s="53" t="e">
        <f>N7*#REF!/100</f>
        <v>#REF!</v>
      </c>
      <c r="AK7" s="43">
        <v>0.58140000000000003</v>
      </c>
      <c r="AL7" s="43">
        <f t="shared" si="0"/>
        <v>6.2E-2</v>
      </c>
      <c r="AM7" s="44" t="s">
        <v>52</v>
      </c>
      <c r="AN7" s="44" t="s">
        <v>53</v>
      </c>
      <c r="AO7" s="44" t="s">
        <v>53</v>
      </c>
      <c r="AP7" s="44" t="s">
        <v>69</v>
      </c>
      <c r="AQ7" s="45" t="s">
        <v>70</v>
      </c>
      <c r="AR7" s="45">
        <v>6.7563829787234006E-2</v>
      </c>
      <c r="AS7" s="45">
        <v>6.2E-2</v>
      </c>
      <c r="AT7" s="45">
        <v>8.2349236340734003E-2</v>
      </c>
      <c r="AU7" s="45">
        <v>0</v>
      </c>
      <c r="AV7" s="45">
        <v>0.32500000000000001</v>
      </c>
      <c r="AW7" s="45">
        <v>0.217</v>
      </c>
      <c r="AX7" s="45">
        <v>6.0000000000000001E-3</v>
      </c>
      <c r="AY7" s="45">
        <v>2.5000000000000001E-2</v>
      </c>
      <c r="AZ7" s="54">
        <v>3.5</v>
      </c>
      <c r="BA7" s="54">
        <v>9.6774193548386997E-2</v>
      </c>
      <c r="BB7" s="41">
        <v>6.7068669527897001E-2</v>
      </c>
      <c r="BC7" s="41">
        <v>0.32500000000000001</v>
      </c>
      <c r="BD7" s="41">
        <v>6.2E-2</v>
      </c>
      <c r="BE7" s="41">
        <v>0</v>
      </c>
      <c r="BF7" s="41">
        <v>6.8765624999999997E-2</v>
      </c>
      <c r="BG7" s="41">
        <v>0.24199999999999999</v>
      </c>
      <c r="BH7" s="41">
        <v>6.0999999999999999E-2</v>
      </c>
      <c r="BI7" s="41">
        <v>6.0000000000000001E-3</v>
      </c>
      <c r="BJ7" s="46">
        <f>IFERROR(VLOOKUP(AP7,'Scoring and Weighting'!$B$10:$C$12,2,FALSE),'Scoring and Weighting'!$C$13)</f>
        <v>80</v>
      </c>
      <c r="BK7" s="46">
        <f>VLOOKUP(AL7,'Scoring and Weighting'!$C$19:$F$23,4)</f>
        <v>70</v>
      </c>
      <c r="BL7" s="47">
        <f t="shared" si="1"/>
        <v>9.6774193548386993</v>
      </c>
      <c r="BM7" s="46" t="e">
        <f>VLOOKUP('Table with Jurisdictions'!AJ7,'Scoring and Weighting'!$C$35:$F$39,4,1)</f>
        <v>#REF!</v>
      </c>
      <c r="BN7" s="46">
        <f t="shared" si="2"/>
        <v>80</v>
      </c>
      <c r="BO7" s="48">
        <f>IFERROR(VLOOKUP(AM7,'Scoring and Weighting'!$B$63:$C$65,2,FALSE),1)</f>
        <v>1</v>
      </c>
      <c r="BP7" s="49">
        <f>BJ7*'Scoring and Weighting'!$C$55*'Table with Jurisdictions'!BO7</f>
        <v>20</v>
      </c>
      <c r="BQ7" s="49">
        <f>BK7*BO7*'Scoring and Weighting'!$C$56</f>
        <v>17.5</v>
      </c>
      <c r="BR7" s="49">
        <f>BO7*BL7*'Scoring and Weighting'!$C$57</f>
        <v>2.4193548387096748</v>
      </c>
      <c r="BS7" s="49" t="e">
        <f>BO7*BM7*'Scoring and Weighting'!$C$58</f>
        <v>#REF!</v>
      </c>
      <c r="BT7" s="49">
        <f>BO7*BN7*'Scoring and Weighting'!$C$59</f>
        <v>12</v>
      </c>
      <c r="BU7" s="50" t="e">
        <f t="shared" si="5"/>
        <v>#REF!</v>
      </c>
      <c r="BX7" s="30">
        <f t="shared" si="6"/>
        <v>10</v>
      </c>
      <c r="CB7">
        <v>5</v>
      </c>
      <c r="CC7" t="s">
        <v>387</v>
      </c>
    </row>
    <row r="8" spans="1:81" x14ac:dyDescent="0.25">
      <c r="A8" s="35" t="s">
        <v>133</v>
      </c>
      <c r="B8" s="35">
        <v>60</v>
      </c>
      <c r="C8" s="75">
        <v>42578.868657407409</v>
      </c>
      <c r="D8" s="35" t="s">
        <v>394</v>
      </c>
      <c r="E8" s="35"/>
      <c r="F8" s="35"/>
      <c r="G8" s="35">
        <v>640</v>
      </c>
      <c r="H8" s="35" t="s">
        <v>62</v>
      </c>
      <c r="I8" s="35">
        <v>1</v>
      </c>
      <c r="J8" s="35">
        <v>0</v>
      </c>
      <c r="K8" s="118" t="s">
        <v>64</v>
      </c>
      <c r="L8" s="35" t="s">
        <v>50</v>
      </c>
      <c r="M8" s="35" t="s">
        <v>399</v>
      </c>
      <c r="N8" s="30">
        <v>171.70778840682701</v>
      </c>
      <c r="O8">
        <f t="shared" si="3"/>
        <v>4</v>
      </c>
      <c r="P8" s="73">
        <f t="shared" si="7"/>
        <v>1</v>
      </c>
      <c r="Q8" s="73" t="str">
        <f>IF(P8&gt;1,"Multiple",VLOOKUP(O8,[1]Sheet1!$C$6:$D$17,2,0))</f>
        <v>Laguna Hills</v>
      </c>
      <c r="R8" s="35">
        <v>0</v>
      </c>
      <c r="S8" s="35">
        <v>0</v>
      </c>
      <c r="T8" s="35">
        <v>0</v>
      </c>
      <c r="U8" s="35">
        <v>99</v>
      </c>
      <c r="V8" s="35">
        <v>1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>
        <v>0</v>
      </c>
      <c r="AE8">
        <v>0</v>
      </c>
      <c r="AF8">
        <v>0</v>
      </c>
      <c r="AG8">
        <v>0</v>
      </c>
      <c r="AH8" s="41">
        <v>2.9006250000000001E-2</v>
      </c>
      <c r="AI8" s="41">
        <v>7.4587500000000001E-2</v>
      </c>
      <c r="AJ8" s="53" t="e">
        <f>N8*#REF!/100</f>
        <v>#REF!</v>
      </c>
      <c r="AK8" s="43">
        <v>5.1796874999999999E-2</v>
      </c>
      <c r="AL8" s="43">
        <f t="shared" si="0"/>
        <v>2.7E-2</v>
      </c>
      <c r="AM8" s="44" t="s">
        <v>52</v>
      </c>
      <c r="AN8" s="44" t="s">
        <v>53</v>
      </c>
      <c r="AO8" s="44" t="s">
        <v>53</v>
      </c>
      <c r="AP8" s="44" t="s">
        <v>69</v>
      </c>
      <c r="AQ8" s="45" t="s">
        <v>73</v>
      </c>
      <c r="AR8" s="45">
        <v>2.7654409805489E-2</v>
      </c>
      <c r="AS8" s="45">
        <v>2.7E-2</v>
      </c>
      <c r="AT8" s="45">
        <v>2.3663850000482E-2</v>
      </c>
      <c r="AU8" s="45">
        <v>7.0000000000000001E-3</v>
      </c>
      <c r="AV8" s="45">
        <v>6.7000000000000004E-2</v>
      </c>
      <c r="AW8" s="45">
        <v>5.0999999999999997E-2</v>
      </c>
      <c r="AX8" s="45">
        <v>1.7999999999999999E-2</v>
      </c>
      <c r="AY8" s="45">
        <v>0.02</v>
      </c>
      <c r="AZ8" s="54">
        <v>1.8888888888888899</v>
      </c>
      <c r="BA8" s="54">
        <v>0.66666666666666696</v>
      </c>
      <c r="BB8" s="41">
        <v>2.7839789394508999E-2</v>
      </c>
      <c r="BC8" s="41">
        <v>6.7000000000000004E-2</v>
      </c>
      <c r="BD8" s="41">
        <v>2.8000000000000001E-2</v>
      </c>
      <c r="BE8" s="41">
        <v>7.0000000000000001E-3</v>
      </c>
      <c r="BF8" s="41">
        <v>2.7203839122486001E-2</v>
      </c>
      <c r="BG8" s="41">
        <v>6.0999999999999999E-2</v>
      </c>
      <c r="BH8" s="41">
        <v>2.5999999999999999E-2</v>
      </c>
      <c r="BI8" s="41">
        <v>1.0999999999999999E-2</v>
      </c>
      <c r="BJ8" s="46">
        <f>IFERROR(VLOOKUP(AP8,'Scoring and Weighting'!$B$10:$C$12,2,FALSE),'Scoring and Weighting'!$C$13)</f>
        <v>80</v>
      </c>
      <c r="BK8" s="46">
        <f>VLOOKUP(AL8,'Scoring and Weighting'!$C$19:$F$23,4)</f>
        <v>50</v>
      </c>
      <c r="BL8" s="47">
        <f t="shared" si="1"/>
        <v>66.6666666666667</v>
      </c>
      <c r="BM8" s="46" t="e">
        <f>VLOOKUP('Table with Jurisdictions'!AJ8,'Scoring and Weighting'!$C$35:$F$39,4,1)</f>
        <v>#REF!</v>
      </c>
      <c r="BN8" s="46">
        <f t="shared" si="2"/>
        <v>80</v>
      </c>
      <c r="BO8" s="48">
        <f>IFERROR(VLOOKUP(AM8,'Scoring and Weighting'!$B$63:$C$65,2,FALSE),1)</f>
        <v>1</v>
      </c>
      <c r="BP8" s="49">
        <f>BJ8*'Scoring and Weighting'!$C$55*'Table with Jurisdictions'!BO8</f>
        <v>20</v>
      </c>
      <c r="BQ8" s="49">
        <f>BK8*BO8*'Scoring and Weighting'!$C$56</f>
        <v>12.5</v>
      </c>
      <c r="BR8" s="49">
        <f>BO8*BL8*'Scoring and Weighting'!$C$57</f>
        <v>16.666666666666675</v>
      </c>
      <c r="BS8" s="49" t="e">
        <f>BO8*BM8*'Scoring and Weighting'!$C$58</f>
        <v>#REF!</v>
      </c>
      <c r="BT8" s="49">
        <f>BO8*BN8*'Scoring and Weighting'!$C$59</f>
        <v>12</v>
      </c>
      <c r="BU8" s="50" t="e">
        <f t="shared" si="5"/>
        <v>#REF!</v>
      </c>
      <c r="BX8" s="30">
        <f t="shared" si="6"/>
        <v>4</v>
      </c>
      <c r="CB8">
        <v>6</v>
      </c>
      <c r="CC8" t="s">
        <v>388</v>
      </c>
    </row>
    <row r="9" spans="1:81" x14ac:dyDescent="0.25">
      <c r="A9" s="35" t="s">
        <v>531</v>
      </c>
      <c r="B9" s="35">
        <v>36</v>
      </c>
      <c r="C9" s="75">
        <v>42578.869363425925</v>
      </c>
      <c r="D9" s="35" t="s">
        <v>394</v>
      </c>
      <c r="E9" s="35"/>
      <c r="F9" s="35"/>
      <c r="G9" s="35">
        <v>9079</v>
      </c>
      <c r="H9" s="35" t="s">
        <v>75</v>
      </c>
      <c r="I9" s="35">
        <v>1</v>
      </c>
      <c r="J9" s="35">
        <v>0</v>
      </c>
      <c r="K9" s="118" t="s">
        <v>180</v>
      </c>
      <c r="L9" s="35" t="s">
        <v>50</v>
      </c>
      <c r="M9" s="35" t="s">
        <v>400</v>
      </c>
      <c r="N9" s="30">
        <v>65.887981852864797</v>
      </c>
      <c r="O9">
        <f t="shared" si="3"/>
        <v>11</v>
      </c>
      <c r="P9" s="73">
        <f t="shared" si="7"/>
        <v>1</v>
      </c>
      <c r="Q9" s="73" t="str">
        <f>IF(P9&gt;1,"Multiple",VLOOKUP(O9,[1]Sheet1!$C$6:$D$17,2,0))</f>
        <v>San Clemente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100</v>
      </c>
      <c r="AC9" s="35">
        <v>0</v>
      </c>
      <c r="AD9">
        <v>0</v>
      </c>
      <c r="AE9">
        <v>0</v>
      </c>
      <c r="AF9">
        <v>0</v>
      </c>
      <c r="AG9">
        <v>0</v>
      </c>
      <c r="AH9" s="41">
        <v>3.4000000000000002E-2</v>
      </c>
      <c r="AI9" s="41">
        <v>3.6266666666667002E-2</v>
      </c>
      <c r="AJ9" s="53" t="e">
        <f>N9*#REF!/100</f>
        <v>#REF!</v>
      </c>
      <c r="AK9" s="43">
        <v>3.4672916666666997E-2</v>
      </c>
      <c r="AL9" s="43">
        <f t="shared" si="0"/>
        <v>1.6E-2</v>
      </c>
      <c r="AM9" s="44" t="s">
        <v>52</v>
      </c>
      <c r="AN9" s="44" t="s">
        <v>53</v>
      </c>
      <c r="AO9" s="44" t="s">
        <v>53</v>
      </c>
      <c r="AP9" s="44" t="s">
        <v>69</v>
      </c>
      <c r="AQ9" s="45" t="s">
        <v>76</v>
      </c>
      <c r="AR9" s="45">
        <v>1.7901121728293001E-2</v>
      </c>
      <c r="AS9" s="45">
        <v>1.6E-2</v>
      </c>
      <c r="AT9" s="45">
        <v>0.106201262532492</v>
      </c>
      <c r="AU9" s="45">
        <v>5.0000000000000001E-3</v>
      </c>
      <c r="AV9" s="45">
        <v>8.5999999999999993E-2</v>
      </c>
      <c r="AW9" s="45">
        <v>4.9500000000000002E-2</v>
      </c>
      <c r="AX9" s="45">
        <v>8.0000000000000002E-3</v>
      </c>
      <c r="AY9" s="45">
        <v>1.0999999999999999E-2</v>
      </c>
      <c r="AZ9" s="54">
        <v>3.09375</v>
      </c>
      <c r="BA9" s="54">
        <v>0.5</v>
      </c>
      <c r="BB9" s="41">
        <v>1.9316591056383999E-2</v>
      </c>
      <c r="BC9" s="41">
        <v>8.5999999999999993E-2</v>
      </c>
      <c r="BD9" s="41">
        <v>1.7000000000000001E-2</v>
      </c>
      <c r="BE9" s="41">
        <v>6.0000000000000001E-3</v>
      </c>
      <c r="BF9" s="41">
        <v>1.5373263888889E-2</v>
      </c>
      <c r="BG9" s="41">
        <v>5.1999999999999998E-2</v>
      </c>
      <c r="BH9" s="41">
        <v>1.4E-2</v>
      </c>
      <c r="BI9" s="41">
        <v>5.0000000000000001E-3</v>
      </c>
      <c r="BJ9" s="46">
        <f>IFERROR(VLOOKUP(AP9,'Scoring and Weighting'!$B$10:$C$12,2,FALSE),'Scoring and Weighting'!$C$13)</f>
        <v>80</v>
      </c>
      <c r="BK9" s="46">
        <f>VLOOKUP(AL9,'Scoring and Weighting'!$C$19:$F$23,4)</f>
        <v>50</v>
      </c>
      <c r="BL9" s="47">
        <f t="shared" si="1"/>
        <v>50</v>
      </c>
      <c r="BM9" s="46" t="e">
        <f>VLOOKUP('Table with Jurisdictions'!AJ9,'Scoring and Weighting'!$C$35:$F$39,4,1)</f>
        <v>#REF!</v>
      </c>
      <c r="BN9" s="46">
        <f t="shared" si="2"/>
        <v>80</v>
      </c>
      <c r="BO9" s="48">
        <f>IFERROR(VLOOKUP(AM9,'Scoring and Weighting'!$B$63:$C$65,2,FALSE),1)</f>
        <v>1</v>
      </c>
      <c r="BP9" s="49">
        <f>BJ9*'Scoring and Weighting'!$C$55*'Table with Jurisdictions'!BO9</f>
        <v>20</v>
      </c>
      <c r="BQ9" s="49">
        <f>BK9*BO9*'Scoring and Weighting'!$C$56</f>
        <v>12.5</v>
      </c>
      <c r="BR9" s="49">
        <f>BO9*BL9*'Scoring and Weighting'!$C$57</f>
        <v>12.5</v>
      </c>
      <c r="BS9" s="49" t="e">
        <f>BO9*BM9*'Scoring and Weighting'!$C$58</f>
        <v>#REF!</v>
      </c>
      <c r="BT9" s="49">
        <f>BO9*BN9*'Scoring and Weighting'!$C$59</f>
        <v>12</v>
      </c>
      <c r="BU9" s="50" t="e">
        <f t="shared" si="5"/>
        <v>#REF!</v>
      </c>
      <c r="BX9" s="30">
        <f t="shared" si="6"/>
        <v>11</v>
      </c>
      <c r="CB9">
        <v>7</v>
      </c>
      <c r="CC9" t="s">
        <v>389</v>
      </c>
    </row>
    <row r="10" spans="1:81" x14ac:dyDescent="0.25">
      <c r="A10" s="35" t="s">
        <v>529</v>
      </c>
      <c r="B10" s="35">
        <v>42</v>
      </c>
      <c r="C10" s="75">
        <v>42578.869583333333</v>
      </c>
      <c r="D10" s="35" t="s">
        <v>394</v>
      </c>
      <c r="E10" s="35"/>
      <c r="F10" s="35"/>
      <c r="G10" s="35">
        <v>10011</v>
      </c>
      <c r="H10" s="35" t="s">
        <v>75</v>
      </c>
      <c r="I10" s="35">
        <v>1</v>
      </c>
      <c r="J10" s="35">
        <v>0</v>
      </c>
      <c r="K10" s="118" t="s">
        <v>51</v>
      </c>
      <c r="L10" s="35" t="s">
        <v>50</v>
      </c>
      <c r="M10" s="35" t="s">
        <v>401</v>
      </c>
      <c r="N10" s="30">
        <v>46.3637791600827</v>
      </c>
      <c r="O10">
        <f t="shared" si="3"/>
        <v>7</v>
      </c>
      <c r="P10" s="73">
        <f t="shared" si="7"/>
        <v>1</v>
      </c>
      <c r="Q10" s="73" t="str">
        <f>IF(P10&gt;1,"Multiple",VLOOKUP(O10,[1]Sheet1!$C$6:$D$17,2,0))</f>
        <v>Lake Forest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99</v>
      </c>
      <c r="Y10" s="35">
        <v>1</v>
      </c>
      <c r="Z10" s="35">
        <v>0</v>
      </c>
      <c r="AA10" s="35">
        <v>0</v>
      </c>
      <c r="AB10" s="35">
        <v>0</v>
      </c>
      <c r="AC10" s="35">
        <v>0</v>
      </c>
      <c r="AD10">
        <v>0</v>
      </c>
      <c r="AE10">
        <v>0</v>
      </c>
      <c r="AF10">
        <v>0</v>
      </c>
      <c r="AG10">
        <v>0</v>
      </c>
      <c r="AH10" s="41">
        <v>0.201889655172414</v>
      </c>
      <c r="AI10" s="41">
        <v>0.51</v>
      </c>
      <c r="AJ10" s="53" t="e">
        <f>N10*#REF!/100</f>
        <v>#REF!</v>
      </c>
      <c r="AK10" s="43">
        <v>0.38633403359858498</v>
      </c>
      <c r="AL10" s="43">
        <f t="shared" si="0"/>
        <v>0.20799999999999999</v>
      </c>
      <c r="AM10" s="44" t="s">
        <v>52</v>
      </c>
      <c r="AN10" s="44" t="s">
        <v>53</v>
      </c>
      <c r="AO10" s="44" t="s">
        <v>53</v>
      </c>
      <c r="AP10" s="44" t="s">
        <v>54</v>
      </c>
      <c r="AQ10" s="45" t="s">
        <v>76</v>
      </c>
      <c r="AR10" s="45">
        <v>0.20969082530372901</v>
      </c>
      <c r="AS10" s="45">
        <v>0.20799999999999999</v>
      </c>
      <c r="AT10" s="45">
        <v>8.063420520566E-3</v>
      </c>
      <c r="AU10" s="45">
        <v>0.183</v>
      </c>
      <c r="AV10" s="45">
        <v>0.27200000000000002</v>
      </c>
      <c r="AW10" s="45">
        <v>0.24349999999999999</v>
      </c>
      <c r="AX10" s="45">
        <v>0.1915</v>
      </c>
      <c r="AY10" s="45">
        <v>0.20100000000000001</v>
      </c>
      <c r="AZ10" s="54">
        <v>1.17067307692308</v>
      </c>
      <c r="BA10" s="54">
        <v>0.92067307692307698</v>
      </c>
      <c r="BB10" s="41">
        <v>0.21064182534471401</v>
      </c>
      <c r="BC10" s="41">
        <v>0.26700000000000002</v>
      </c>
      <c r="BD10" s="41">
        <v>0.20899999999999999</v>
      </c>
      <c r="BE10" s="41">
        <v>0.185</v>
      </c>
      <c r="BF10" s="41">
        <v>0.20801446759259301</v>
      </c>
      <c r="BG10" s="41">
        <v>0.27200000000000002</v>
      </c>
      <c r="BH10" s="41">
        <v>0.20599999999999999</v>
      </c>
      <c r="BI10" s="41">
        <v>0.183</v>
      </c>
      <c r="BJ10" s="46">
        <f>IFERROR(VLOOKUP(AP10,'Scoring and Weighting'!$B$10:$C$12,2,FALSE),'Scoring and Weighting'!$C$13)</f>
        <v>100</v>
      </c>
      <c r="BK10" s="46">
        <f>VLOOKUP(AL10,'Scoring and Weighting'!$C$19:$F$23,4)</f>
        <v>100</v>
      </c>
      <c r="BL10" s="47">
        <f t="shared" si="1"/>
        <v>92.067307692307693</v>
      </c>
      <c r="BM10" s="46" t="e">
        <f>VLOOKUP('Table with Jurisdictions'!AJ10,'Scoring and Weighting'!$C$35:$F$39,4,1)</f>
        <v>#REF!</v>
      </c>
      <c r="BN10" s="46">
        <f t="shared" si="2"/>
        <v>80</v>
      </c>
      <c r="BO10" s="48">
        <f>IFERROR(VLOOKUP(AM10,'Scoring and Weighting'!$B$63:$C$65,2,FALSE),1)</f>
        <v>1</v>
      </c>
      <c r="BP10" s="49">
        <f>BJ10*'Scoring and Weighting'!$C$55*'Table with Jurisdictions'!BO10</f>
        <v>25</v>
      </c>
      <c r="BQ10" s="49">
        <f>BK10*BO10*'Scoring and Weighting'!$C$56</f>
        <v>25</v>
      </c>
      <c r="BR10" s="49">
        <f>BO10*BL10*'Scoring and Weighting'!$C$57</f>
        <v>23.016826923076923</v>
      </c>
      <c r="BS10" s="49" t="e">
        <f>BO10*BM10*'Scoring and Weighting'!$C$58</f>
        <v>#REF!</v>
      </c>
      <c r="BT10" s="49">
        <f>BO10*BN10*'Scoring and Weighting'!$C$59</f>
        <v>12</v>
      </c>
      <c r="BU10" s="50" t="e">
        <f t="shared" si="5"/>
        <v>#REF!</v>
      </c>
      <c r="BX10" s="30">
        <f t="shared" si="6"/>
        <v>7</v>
      </c>
      <c r="CB10">
        <v>8</v>
      </c>
      <c r="CC10" t="s">
        <v>390</v>
      </c>
    </row>
    <row r="11" spans="1:81" x14ac:dyDescent="0.25">
      <c r="A11" s="35" t="s">
        <v>125</v>
      </c>
      <c r="B11" s="35">
        <v>42</v>
      </c>
      <c r="C11" s="75">
        <v>42578.867164351854</v>
      </c>
      <c r="D11" s="35" t="s">
        <v>394</v>
      </c>
      <c r="E11" s="35"/>
      <c r="F11" s="35"/>
      <c r="G11" s="35">
        <v>9082</v>
      </c>
      <c r="H11" s="35" t="s">
        <v>49</v>
      </c>
      <c r="I11" s="35">
        <v>1</v>
      </c>
      <c r="J11" s="35">
        <v>0</v>
      </c>
      <c r="K11" s="118" t="s">
        <v>51</v>
      </c>
      <c r="L11" s="35" t="s">
        <v>50</v>
      </c>
      <c r="M11" s="35" t="s">
        <v>402</v>
      </c>
      <c r="N11" s="30" t="s">
        <v>547</v>
      </c>
      <c r="O11">
        <f t="shared" si="3"/>
        <v>1</v>
      </c>
      <c r="P11" s="73">
        <f t="shared" si="7"/>
        <v>1</v>
      </c>
      <c r="Q11" s="73" t="str">
        <f>IF(P11&gt;1,"Multiple",VLOOKUP(O11,[1]Sheet1!$C$6:$D$17,2,0))</f>
        <v>Aliso Viejo</v>
      </c>
      <c r="R11" s="35">
        <v>98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2</v>
      </c>
      <c r="AA11" s="35">
        <v>0</v>
      </c>
      <c r="AB11" s="35">
        <v>0</v>
      </c>
      <c r="AC11" s="35">
        <v>0</v>
      </c>
      <c r="AD11">
        <v>0</v>
      </c>
      <c r="AE11">
        <v>0</v>
      </c>
      <c r="AF11">
        <v>0</v>
      </c>
      <c r="AG11">
        <v>0</v>
      </c>
      <c r="AH11" s="41">
        <v>0.30345</v>
      </c>
      <c r="AI11" s="41">
        <v>0.30345</v>
      </c>
      <c r="AJ11" s="53" t="e">
        <f>N11*#REF!/100</f>
        <v>#VALUE!</v>
      </c>
      <c r="AK11" s="43">
        <v>0.30345</v>
      </c>
      <c r="AL11" s="43">
        <f t="shared" si="0"/>
        <v>5.8999999999999997E-2</v>
      </c>
      <c r="AM11" s="44"/>
      <c r="AN11" s="44"/>
      <c r="AO11" s="44"/>
      <c r="AP11" s="44"/>
      <c r="AQ11" s="45" t="s">
        <v>79</v>
      </c>
      <c r="AR11" s="45">
        <v>6.4249940716149007E-2</v>
      </c>
      <c r="AS11" s="45">
        <v>5.8999999999999997E-2</v>
      </c>
      <c r="AT11" s="45">
        <v>8.1711214946371999E-2</v>
      </c>
      <c r="AU11" s="45">
        <v>2E-3</v>
      </c>
      <c r="AV11" s="45">
        <v>0.30199999999999999</v>
      </c>
      <c r="AW11" s="45">
        <v>0.13100000000000001</v>
      </c>
      <c r="AX11" s="45">
        <v>1.7000000000000001E-2</v>
      </c>
      <c r="AY11" s="45">
        <v>5.6000000000000001E-2</v>
      </c>
      <c r="AZ11" s="54">
        <v>2.22033898305085</v>
      </c>
      <c r="BA11" s="54">
        <v>0.28813559322033899</v>
      </c>
      <c r="BB11" s="41">
        <v>6.1764437194126998E-2</v>
      </c>
      <c r="BC11" s="41">
        <v>0.30199999999999999</v>
      </c>
      <c r="BD11" s="41">
        <v>5.8999999999999997E-2</v>
      </c>
      <c r="BE11" s="41">
        <v>2E-3</v>
      </c>
      <c r="BF11" s="41">
        <v>7.0862847222221997E-2</v>
      </c>
      <c r="BG11" s="41">
        <v>0.27800000000000002</v>
      </c>
      <c r="BH11" s="41">
        <v>5.8500000000000003E-2</v>
      </c>
      <c r="BI11" s="41">
        <v>8.0000000000000002E-3</v>
      </c>
      <c r="BJ11" s="46">
        <f>IFERROR(VLOOKUP(AP11,'Scoring and Weighting'!$B$10:$C$12,2,FALSE),'Scoring and Weighting'!$C$13)</f>
        <v>70</v>
      </c>
      <c r="BK11" s="46">
        <f>VLOOKUP(AL11,'Scoring and Weighting'!$C$19:$F$23,4)</f>
        <v>70</v>
      </c>
      <c r="BL11" s="47">
        <f t="shared" si="1"/>
        <v>28.8135593220339</v>
      </c>
      <c r="BM11" s="46" t="e">
        <f>VLOOKUP('Table with Jurisdictions'!AJ11,'Scoring and Weighting'!$C$35:$F$39,4,1)</f>
        <v>#VALUE!</v>
      </c>
      <c r="BN11" s="46">
        <f t="shared" si="2"/>
        <v>20</v>
      </c>
      <c r="BO11" s="48">
        <f>IFERROR(VLOOKUP(AM11,'Scoring and Weighting'!$B$63:$C$65,2,FALSE),1)</f>
        <v>1</v>
      </c>
      <c r="BP11" s="49">
        <f>BJ11*'Scoring and Weighting'!$C$55*'Table with Jurisdictions'!BO11</f>
        <v>17.5</v>
      </c>
      <c r="BQ11" s="49">
        <f>BK11*BO11*'Scoring and Weighting'!$C$56</f>
        <v>17.5</v>
      </c>
      <c r="BR11" s="49">
        <f>BO11*BL11*'Scoring and Weighting'!$C$57</f>
        <v>7.2033898305084749</v>
      </c>
      <c r="BS11" s="49" t="e">
        <f>BO11*BM11*'Scoring and Weighting'!$C$58</f>
        <v>#VALUE!</v>
      </c>
      <c r="BT11" s="49">
        <f>BO11*BN11*'Scoring and Weighting'!$C$59</f>
        <v>3</v>
      </c>
      <c r="BU11" s="50" t="e">
        <f t="shared" si="5"/>
        <v>#VALUE!</v>
      </c>
      <c r="BX11" s="30">
        <f t="shared" si="6"/>
        <v>1</v>
      </c>
      <c r="CB11">
        <v>9</v>
      </c>
      <c r="CC11" t="s">
        <v>391</v>
      </c>
    </row>
    <row r="12" spans="1:81" x14ac:dyDescent="0.25">
      <c r="A12" s="35" t="s">
        <v>159</v>
      </c>
      <c r="B12" s="35">
        <v>54</v>
      </c>
      <c r="C12" s="75">
        <v>42578.863344907404</v>
      </c>
      <c r="D12" s="35" t="s">
        <v>394</v>
      </c>
      <c r="E12" s="35"/>
      <c r="F12" s="35"/>
      <c r="G12" s="35">
        <v>12126</v>
      </c>
      <c r="H12" s="35" t="s">
        <v>82</v>
      </c>
      <c r="I12" s="35">
        <v>1</v>
      </c>
      <c r="J12" s="35">
        <v>0</v>
      </c>
      <c r="K12" s="118" t="s">
        <v>51</v>
      </c>
      <c r="L12" s="35" t="s">
        <v>50</v>
      </c>
      <c r="M12" s="35" t="s">
        <v>403</v>
      </c>
      <c r="N12" s="30">
        <v>222.46726523817301</v>
      </c>
      <c r="O12">
        <f t="shared" si="3"/>
        <v>5</v>
      </c>
      <c r="P12" s="73">
        <f t="shared" si="7"/>
        <v>1</v>
      </c>
      <c r="Q12" s="73" t="str">
        <f>IF(P12&gt;1,"Multiple",VLOOKUP(O12,[1]Sheet1!$C$6:$D$17,2,0))</f>
        <v>Laguna Niguel</v>
      </c>
      <c r="R12" s="35">
        <v>2</v>
      </c>
      <c r="S12" s="35">
        <v>0</v>
      </c>
      <c r="T12" s="35">
        <v>0</v>
      </c>
      <c r="U12" s="35">
        <v>0</v>
      </c>
      <c r="V12" s="35">
        <v>98</v>
      </c>
      <c r="W12" s="35">
        <v>0</v>
      </c>
      <c r="X12" s="35">
        <v>0</v>
      </c>
      <c r="Y12" s="35">
        <v>0</v>
      </c>
      <c r="Z12" s="35">
        <v>0</v>
      </c>
      <c r="AA12" s="35">
        <v>0</v>
      </c>
      <c r="AB12" s="35">
        <v>0</v>
      </c>
      <c r="AC12" s="35">
        <v>0</v>
      </c>
      <c r="AD12">
        <v>0</v>
      </c>
      <c r="AE12">
        <v>0</v>
      </c>
      <c r="AF12">
        <v>0</v>
      </c>
      <c r="AG12">
        <v>0</v>
      </c>
      <c r="AH12" s="41">
        <v>0.198171428571429</v>
      </c>
      <c r="AI12" s="41">
        <v>0.53549999999999998</v>
      </c>
      <c r="AJ12" s="53" t="e">
        <f>N12*#REF!/100</f>
        <v>#REF!</v>
      </c>
      <c r="AK12" s="43">
        <v>0.36683571428571399</v>
      </c>
      <c r="AL12" s="43">
        <f t="shared" si="0"/>
        <v>0.13700000000000001</v>
      </c>
      <c r="AM12" s="44"/>
      <c r="AN12" s="44"/>
      <c r="AO12" s="44"/>
      <c r="AP12" s="44"/>
      <c r="AQ12" s="45" t="s">
        <v>70</v>
      </c>
      <c r="AR12" s="45">
        <v>0.139124099722992</v>
      </c>
      <c r="AS12" s="45">
        <v>0.13700000000000001</v>
      </c>
      <c r="AT12" s="45">
        <v>1.5267661945133E-2</v>
      </c>
      <c r="AU12" s="45">
        <v>3.5000000000000003E-2</v>
      </c>
      <c r="AV12" s="45">
        <v>0.26300000000000001</v>
      </c>
      <c r="AW12" s="45">
        <v>0.23400000000000001</v>
      </c>
      <c r="AX12" s="45">
        <v>7.4999999999999997E-2</v>
      </c>
      <c r="AY12" s="45">
        <v>9.6000000000000002E-2</v>
      </c>
      <c r="AZ12" s="54">
        <v>1.7080291970802901</v>
      </c>
      <c r="BA12" s="54">
        <v>0.547445255474452</v>
      </c>
      <c r="BB12" s="41">
        <v>0.14102495049505001</v>
      </c>
      <c r="BC12" s="41">
        <v>0.26200000000000001</v>
      </c>
      <c r="BD12" s="41">
        <v>0.14000000000000001</v>
      </c>
      <c r="BE12" s="41">
        <v>3.9E-2</v>
      </c>
      <c r="BF12" s="41">
        <v>0.134700460829493</v>
      </c>
      <c r="BG12" s="41">
        <v>0.26300000000000001</v>
      </c>
      <c r="BH12" s="41">
        <v>0.13200000000000001</v>
      </c>
      <c r="BI12" s="41">
        <v>3.5000000000000003E-2</v>
      </c>
      <c r="BJ12" s="46">
        <f>IFERROR(VLOOKUP(AP12,'Scoring and Weighting'!$B$10:$C$12,2,FALSE),'Scoring and Weighting'!$C$13)</f>
        <v>70</v>
      </c>
      <c r="BK12" s="46">
        <f>VLOOKUP(AL12,'Scoring and Weighting'!$C$19:$F$23,4)</f>
        <v>90</v>
      </c>
      <c r="BL12" s="47">
        <f t="shared" si="1"/>
        <v>54.7445255474452</v>
      </c>
      <c r="BM12" s="46" t="e">
        <f>VLOOKUP('Table with Jurisdictions'!AJ12,'Scoring and Weighting'!$C$35:$F$39,4,1)</f>
        <v>#REF!</v>
      </c>
      <c r="BN12" s="46">
        <f t="shared" si="2"/>
        <v>20</v>
      </c>
      <c r="BO12" s="48">
        <f>IFERROR(VLOOKUP(AM12,'Scoring and Weighting'!$B$63:$C$65,2,FALSE),1)</f>
        <v>1</v>
      </c>
      <c r="BP12" s="49">
        <f>BJ12*'Scoring and Weighting'!$C$55*'Table with Jurisdictions'!BO12</f>
        <v>17.5</v>
      </c>
      <c r="BQ12" s="49">
        <f>BK12*BO12*'Scoring and Weighting'!$C$56</f>
        <v>22.5</v>
      </c>
      <c r="BR12" s="49">
        <f>BO12*BL12*'Scoring and Weighting'!$C$57</f>
        <v>13.6861313868613</v>
      </c>
      <c r="BS12" s="49" t="e">
        <f>BO12*BM12*'Scoring and Weighting'!$C$58</f>
        <v>#REF!</v>
      </c>
      <c r="BT12" s="49">
        <f>BO12*BN12*'Scoring and Weighting'!$C$59</f>
        <v>3</v>
      </c>
      <c r="BU12" s="50" t="e">
        <f t="shared" si="5"/>
        <v>#REF!</v>
      </c>
      <c r="BX12" s="30">
        <f t="shared" si="6"/>
        <v>5</v>
      </c>
      <c r="CB12">
        <v>10</v>
      </c>
      <c r="CC12" t="s">
        <v>392</v>
      </c>
    </row>
    <row r="13" spans="1:81" x14ac:dyDescent="0.25">
      <c r="A13" s="35" t="s">
        <v>88</v>
      </c>
      <c r="B13" s="35">
        <v>72</v>
      </c>
      <c r="C13" s="75">
        <v>42578.866539351853</v>
      </c>
      <c r="D13" s="35" t="s">
        <v>394</v>
      </c>
      <c r="E13" s="35"/>
      <c r="F13" s="35"/>
      <c r="G13" s="35">
        <v>12177</v>
      </c>
      <c r="H13" s="35" t="s">
        <v>82</v>
      </c>
      <c r="I13" s="35">
        <v>1</v>
      </c>
      <c r="J13" s="35">
        <v>0</v>
      </c>
      <c r="K13" s="118" t="s">
        <v>84</v>
      </c>
      <c r="L13" s="35" t="s">
        <v>50</v>
      </c>
      <c r="M13" s="35" t="s">
        <v>404</v>
      </c>
      <c r="N13" s="30">
        <v>329.52135055845798</v>
      </c>
      <c r="O13">
        <f t="shared" si="3"/>
        <v>5</v>
      </c>
      <c r="P13" s="73">
        <f t="shared" si="7"/>
        <v>1</v>
      </c>
      <c r="Q13" s="73" t="str">
        <f>IF(P13&gt;1,"Multiple",VLOOKUP(O13,[1]Sheet1!$C$6:$D$17,2,0))</f>
        <v>Laguna Niguel</v>
      </c>
      <c r="R13" s="35">
        <v>0</v>
      </c>
      <c r="S13" s="35">
        <v>0</v>
      </c>
      <c r="T13" s="35">
        <v>0</v>
      </c>
      <c r="U13" s="35">
        <v>0</v>
      </c>
      <c r="V13" s="35">
        <v>98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5">
        <v>2</v>
      </c>
      <c r="AD13">
        <v>0</v>
      </c>
      <c r="AE13">
        <v>0</v>
      </c>
      <c r="AF13">
        <v>0</v>
      </c>
      <c r="AG13">
        <v>0</v>
      </c>
      <c r="AH13" s="41">
        <v>1.625625E-2</v>
      </c>
      <c r="AI13" s="41">
        <v>7.6499999999999999E-2</v>
      </c>
      <c r="AJ13" s="53" t="e">
        <f>N13*#REF!/100</f>
        <v>#REF!</v>
      </c>
      <c r="AK13" s="43">
        <v>4.6378124999999999E-2</v>
      </c>
      <c r="AL13" s="43">
        <f t="shared" si="0"/>
        <v>0.13300000000000001</v>
      </c>
      <c r="AM13" s="44"/>
      <c r="AN13" s="44"/>
      <c r="AO13" s="44"/>
      <c r="AP13" s="44"/>
      <c r="AQ13" s="45" t="s">
        <v>87</v>
      </c>
      <c r="AR13" s="45">
        <v>0.13572933730454201</v>
      </c>
      <c r="AS13" s="45">
        <v>0.13300000000000001</v>
      </c>
      <c r="AT13" s="45">
        <v>2.0108676272530001E-2</v>
      </c>
      <c r="AU13" s="45">
        <v>2.1999999999999999E-2</v>
      </c>
      <c r="AV13" s="45">
        <v>0.41499999999999998</v>
      </c>
      <c r="AW13" s="45">
        <v>0.23050000000000001</v>
      </c>
      <c r="AX13" s="45">
        <v>6.8000000000000005E-2</v>
      </c>
      <c r="AY13" s="45">
        <v>9.1999999999999998E-2</v>
      </c>
      <c r="AZ13" s="54">
        <v>1.7330827067669199</v>
      </c>
      <c r="BA13" s="54">
        <v>0.511278195488722</v>
      </c>
      <c r="BB13" s="41">
        <v>0.14106315179605999</v>
      </c>
      <c r="BC13" s="41">
        <v>0.41499999999999998</v>
      </c>
      <c r="BD13" s="41">
        <v>0.13600000000000001</v>
      </c>
      <c r="BE13" s="41">
        <v>2.1999999999999999E-2</v>
      </c>
      <c r="BF13" s="41">
        <v>0.126139583333333</v>
      </c>
      <c r="BG13" s="41">
        <v>0.25700000000000001</v>
      </c>
      <c r="BH13" s="41">
        <v>0.128</v>
      </c>
      <c r="BI13" s="41">
        <v>2.1999999999999999E-2</v>
      </c>
      <c r="BJ13" s="46">
        <f>IFERROR(VLOOKUP(AP13,'Scoring and Weighting'!$B$10:$C$12,2,FALSE),'Scoring and Weighting'!$C$13)</f>
        <v>70</v>
      </c>
      <c r="BK13" s="46">
        <f>VLOOKUP(AL13,'Scoring and Weighting'!$C$19:$F$23,4)</f>
        <v>90</v>
      </c>
      <c r="BL13" s="47">
        <f t="shared" si="1"/>
        <v>51.127819548872196</v>
      </c>
      <c r="BM13" s="46" t="e">
        <f>VLOOKUP('Table with Jurisdictions'!AJ13,'Scoring and Weighting'!$C$35:$F$39,4,1)</f>
        <v>#REF!</v>
      </c>
      <c r="BN13" s="46">
        <f t="shared" si="2"/>
        <v>20</v>
      </c>
      <c r="BO13" s="48">
        <f>IFERROR(VLOOKUP(AM13,'Scoring and Weighting'!$B$63:$C$65,2,FALSE),1)</f>
        <v>1</v>
      </c>
      <c r="BP13" s="49">
        <f>BJ13*'Scoring and Weighting'!$C$55*'Table with Jurisdictions'!BO13</f>
        <v>17.5</v>
      </c>
      <c r="BQ13" s="49">
        <f>BK13*BO13*'Scoring and Weighting'!$C$56</f>
        <v>22.5</v>
      </c>
      <c r="BR13" s="49">
        <f>BO13*BL13*'Scoring and Weighting'!$C$57</f>
        <v>12.781954887218049</v>
      </c>
      <c r="BS13" s="49" t="e">
        <f>BO13*BM13*'Scoring and Weighting'!$C$58</f>
        <v>#REF!</v>
      </c>
      <c r="BT13" s="49">
        <f>BO13*BN13*'Scoring and Weighting'!$C$59</f>
        <v>3</v>
      </c>
      <c r="BU13" s="50" t="e">
        <f t="shared" si="5"/>
        <v>#REF!</v>
      </c>
      <c r="BX13" s="30">
        <f t="shared" si="6"/>
        <v>5</v>
      </c>
      <c r="CB13">
        <v>11</v>
      </c>
      <c r="CC13" t="s">
        <v>180</v>
      </c>
    </row>
    <row r="14" spans="1:81" x14ac:dyDescent="0.25">
      <c r="A14" s="35" t="s">
        <v>170</v>
      </c>
      <c r="B14" s="35">
        <v>54</v>
      </c>
      <c r="C14" s="75">
        <v>42578.867743055554</v>
      </c>
      <c r="D14" s="35" t="s">
        <v>394</v>
      </c>
      <c r="E14" s="35"/>
      <c r="F14" s="35"/>
      <c r="G14" s="35">
        <v>12058</v>
      </c>
      <c r="H14" s="35" t="s">
        <v>82</v>
      </c>
      <c r="I14" s="35">
        <v>1</v>
      </c>
      <c r="J14" s="35">
        <v>0</v>
      </c>
      <c r="K14" s="118" t="s">
        <v>51</v>
      </c>
      <c r="L14" s="35" t="s">
        <v>50</v>
      </c>
      <c r="M14" s="35" t="s">
        <v>405</v>
      </c>
      <c r="N14" s="30">
        <v>155.28755696205201</v>
      </c>
      <c r="O14">
        <f t="shared" si="3"/>
        <v>5</v>
      </c>
      <c r="P14" s="73">
        <f t="shared" si="7"/>
        <v>1</v>
      </c>
      <c r="Q14" s="73" t="str">
        <f>IF(P14&gt;1,"Multiple",VLOOKUP(O14,[1]Sheet1!$C$6:$D$17,2,0))</f>
        <v>Laguna Niguel</v>
      </c>
      <c r="R14" s="35">
        <v>0</v>
      </c>
      <c r="S14" s="35">
        <v>0</v>
      </c>
      <c r="T14" s="35">
        <v>0</v>
      </c>
      <c r="U14" s="35">
        <v>0</v>
      </c>
      <c r="V14" s="35">
        <v>100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5">
        <v>0</v>
      </c>
      <c r="AD14">
        <v>0</v>
      </c>
      <c r="AE14">
        <v>2</v>
      </c>
      <c r="AF14">
        <v>0</v>
      </c>
      <c r="AG14">
        <v>0</v>
      </c>
      <c r="AH14" s="41">
        <v>5.0999999999999997E-2</v>
      </c>
      <c r="AI14" s="41">
        <v>0.125</v>
      </c>
      <c r="AJ14" s="53" t="e">
        <f>N14*#REF!/100</f>
        <v>#REF!</v>
      </c>
      <c r="AK14" s="43">
        <v>8.7999999999999995E-2</v>
      </c>
      <c r="AL14" s="43">
        <f t="shared" si="0"/>
        <v>8.0000000000000002E-3</v>
      </c>
      <c r="AM14" s="44"/>
      <c r="AN14" s="44"/>
      <c r="AO14" s="44"/>
      <c r="AP14" s="44"/>
      <c r="AQ14" s="45" t="s">
        <v>90</v>
      </c>
      <c r="AR14" s="45">
        <v>1.080297029703E-2</v>
      </c>
      <c r="AS14" s="45">
        <v>8.0000000000000002E-3</v>
      </c>
      <c r="AT14" s="45">
        <v>0.25946292732105197</v>
      </c>
      <c r="AU14" s="45">
        <v>0</v>
      </c>
      <c r="AV14" s="45">
        <v>9.7000000000000003E-2</v>
      </c>
      <c r="AW14" s="45">
        <v>4.2000000000000003E-2</v>
      </c>
      <c r="AX14" s="45">
        <v>0</v>
      </c>
      <c r="AY14" s="45">
        <v>3.0000000000000001E-3</v>
      </c>
      <c r="AZ14" s="54">
        <v>5.25</v>
      </c>
      <c r="BA14" s="54">
        <v>0</v>
      </c>
      <c r="BB14" s="41">
        <v>1.1493767313019E-2</v>
      </c>
      <c r="BC14" s="41">
        <v>9.7000000000000003E-2</v>
      </c>
      <c r="BD14" s="41">
        <v>8.0000000000000002E-3</v>
      </c>
      <c r="BE14" s="41">
        <v>0</v>
      </c>
      <c r="BF14" s="41">
        <v>9.0711805555560004E-3</v>
      </c>
      <c r="BG14" s="41">
        <v>9.4E-2</v>
      </c>
      <c r="BH14" s="41">
        <v>8.0000000000000002E-3</v>
      </c>
      <c r="BI14" s="41">
        <v>0</v>
      </c>
      <c r="BJ14" s="46">
        <f>IFERROR(VLOOKUP(AP14,'Scoring and Weighting'!$B$10:$C$12,2,FALSE),'Scoring and Weighting'!$C$13)</f>
        <v>70</v>
      </c>
      <c r="BK14" s="46">
        <f>VLOOKUP(AL14,'Scoring and Weighting'!$C$19:$F$23,4)</f>
        <v>30</v>
      </c>
      <c r="BL14" s="47">
        <f t="shared" si="1"/>
        <v>0</v>
      </c>
      <c r="BM14" s="46" t="e">
        <f>VLOOKUP('Table with Jurisdictions'!AJ14,'Scoring and Weighting'!$C$35:$F$39,4,1)</f>
        <v>#REF!</v>
      </c>
      <c r="BN14" s="46">
        <f t="shared" si="2"/>
        <v>20</v>
      </c>
      <c r="BO14" s="48">
        <f>IFERROR(VLOOKUP(AM14,'Scoring and Weighting'!$B$63:$C$65,2,FALSE),1)</f>
        <v>1</v>
      </c>
      <c r="BP14" s="49">
        <f>BJ14*'Scoring and Weighting'!$C$55*'Table with Jurisdictions'!BO14</f>
        <v>17.5</v>
      </c>
      <c r="BQ14" s="49">
        <f>BK14*BO14*'Scoring and Weighting'!$C$56</f>
        <v>7.5</v>
      </c>
      <c r="BR14" s="49">
        <f>BO14*BL14*'Scoring and Weighting'!$C$57</f>
        <v>0</v>
      </c>
      <c r="BS14" s="49" t="e">
        <f>BO14*BM14*'Scoring and Weighting'!$C$58</f>
        <v>#REF!</v>
      </c>
      <c r="BT14" s="49">
        <f>BO14*BN14*'Scoring and Weighting'!$C$59</f>
        <v>3</v>
      </c>
      <c r="BU14" s="50" t="e">
        <f t="shared" si="5"/>
        <v>#REF!</v>
      </c>
      <c r="BX14" s="30">
        <f t="shared" si="6"/>
        <v>5</v>
      </c>
      <c r="CB14">
        <v>12</v>
      </c>
      <c r="CC14" t="s">
        <v>524</v>
      </c>
    </row>
    <row r="15" spans="1:81" x14ac:dyDescent="0.25">
      <c r="A15" s="35" t="s">
        <v>253</v>
      </c>
      <c r="B15" s="35">
        <v>48</v>
      </c>
      <c r="C15" s="75">
        <v>42578.867893518516</v>
      </c>
      <c r="D15" s="35" t="s">
        <v>394</v>
      </c>
      <c r="E15" s="35"/>
      <c r="F15" s="35"/>
      <c r="G15" s="35">
        <v>12058</v>
      </c>
      <c r="H15" s="35" t="s">
        <v>82</v>
      </c>
      <c r="I15" s="35">
        <v>1</v>
      </c>
      <c r="J15" s="35">
        <v>0</v>
      </c>
      <c r="K15" s="118" t="s">
        <v>84</v>
      </c>
      <c r="L15" s="35" t="s">
        <v>50</v>
      </c>
      <c r="M15" s="35" t="s">
        <v>406</v>
      </c>
      <c r="N15" s="30">
        <v>147.045550159241</v>
      </c>
      <c r="O15">
        <f t="shared" si="3"/>
        <v>5</v>
      </c>
      <c r="P15" s="73">
        <f t="shared" si="7"/>
        <v>1</v>
      </c>
      <c r="Q15" s="73" t="str">
        <f>IF(P15&gt;1,"Multiple",VLOOKUP(O15,[1]Sheet1!$C$6:$D$17,2,0))</f>
        <v>Laguna Niguel</v>
      </c>
      <c r="R15" s="35">
        <v>0</v>
      </c>
      <c r="S15" s="35">
        <v>0</v>
      </c>
      <c r="T15" s="35">
        <v>0</v>
      </c>
      <c r="U15" s="35">
        <v>0</v>
      </c>
      <c r="V15" s="35">
        <v>100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5">
        <v>0</v>
      </c>
      <c r="AD15">
        <v>0</v>
      </c>
      <c r="AE15">
        <v>3</v>
      </c>
      <c r="AF15">
        <v>0</v>
      </c>
      <c r="AG15">
        <v>0</v>
      </c>
      <c r="AH15" s="41">
        <v>3.25125E-2</v>
      </c>
      <c r="AI15" s="41">
        <v>5.0999999999999997E-2</v>
      </c>
      <c r="AJ15" s="53" t="e">
        <f>N15*#REF!/100</f>
        <v>#REF!</v>
      </c>
      <c r="AK15" s="43">
        <v>4.1756250000000002E-2</v>
      </c>
      <c r="AL15" s="43">
        <f t="shared" si="0"/>
        <v>1.2999999999999999E-2</v>
      </c>
      <c r="AM15" s="44"/>
      <c r="AN15" s="44"/>
      <c r="AO15" s="44"/>
      <c r="AP15" s="44"/>
      <c r="AQ15" s="45" t="s">
        <v>90</v>
      </c>
      <c r="AR15" s="45">
        <v>2.6951732673267E-2</v>
      </c>
      <c r="AS15" s="45">
        <v>1.2999999999999999E-2</v>
      </c>
      <c r="AT15" s="45">
        <v>0.517656242824999</v>
      </c>
      <c r="AU15" s="45">
        <v>0</v>
      </c>
      <c r="AV15" s="45">
        <v>0.434</v>
      </c>
      <c r="AW15" s="45">
        <v>0.13800000000000001</v>
      </c>
      <c r="AX15" s="45">
        <v>0</v>
      </c>
      <c r="AY15" s="45">
        <v>6.0000000000000001E-3</v>
      </c>
      <c r="AZ15" s="54">
        <v>10.615384615384601</v>
      </c>
      <c r="BA15" s="54">
        <v>0</v>
      </c>
      <c r="BB15" s="41">
        <v>2.8715027700831001E-2</v>
      </c>
      <c r="BC15" s="41">
        <v>0.34300000000000003</v>
      </c>
      <c r="BD15" s="41">
        <v>1.4999999999999999E-2</v>
      </c>
      <c r="BE15" s="41">
        <v>0</v>
      </c>
      <c r="BF15" s="41">
        <v>2.2531249999999999E-2</v>
      </c>
      <c r="BG15" s="41">
        <v>0.434</v>
      </c>
      <c r="BH15" s="41">
        <v>7.0000000000000001E-3</v>
      </c>
      <c r="BI15" s="41">
        <v>0</v>
      </c>
      <c r="BJ15" s="46">
        <f>IFERROR(VLOOKUP(AP15,'Scoring and Weighting'!$B$10:$C$12,2,FALSE),'Scoring and Weighting'!$C$13)</f>
        <v>70</v>
      </c>
      <c r="BK15" s="46">
        <f>VLOOKUP(AL15,'Scoring and Weighting'!$C$19:$F$23,4)</f>
        <v>30</v>
      </c>
      <c r="BL15" s="47">
        <f t="shared" si="1"/>
        <v>0</v>
      </c>
      <c r="BM15" s="46" t="e">
        <f>VLOOKUP('Table with Jurisdictions'!AJ15,'Scoring and Weighting'!$C$35:$F$39,4,1)</f>
        <v>#REF!</v>
      </c>
      <c r="BN15" s="46">
        <f t="shared" si="2"/>
        <v>20</v>
      </c>
      <c r="BO15" s="48">
        <f>IFERROR(VLOOKUP(AM15,'Scoring and Weighting'!$B$63:$C$65,2,FALSE),1)</f>
        <v>1</v>
      </c>
      <c r="BP15" s="49">
        <f>BJ15*'Scoring and Weighting'!$C$55*'Table with Jurisdictions'!BO15</f>
        <v>17.5</v>
      </c>
      <c r="BQ15" s="49">
        <f>BK15*BO15*'Scoring and Weighting'!$C$56</f>
        <v>7.5</v>
      </c>
      <c r="BR15" s="49">
        <f>BO15*BL15*'Scoring and Weighting'!$C$57</f>
        <v>0</v>
      </c>
      <c r="BS15" s="49" t="e">
        <f>BO15*BM15*'Scoring and Weighting'!$C$58</f>
        <v>#REF!</v>
      </c>
      <c r="BT15" s="49">
        <f>BO15*BN15*'Scoring and Weighting'!$C$59</f>
        <v>3</v>
      </c>
      <c r="BU15" s="50" t="e">
        <f t="shared" si="5"/>
        <v>#REF!</v>
      </c>
      <c r="BX15" s="30">
        <f t="shared" si="6"/>
        <v>5</v>
      </c>
    </row>
    <row r="16" spans="1:81" x14ac:dyDescent="0.25">
      <c r="A16" s="35" t="s">
        <v>91</v>
      </c>
      <c r="B16" s="35">
        <v>72</v>
      </c>
      <c r="C16" s="75">
        <v>42570.94771990741</v>
      </c>
      <c r="D16" s="35" t="s">
        <v>394</v>
      </c>
      <c r="E16" s="35"/>
      <c r="F16" s="35"/>
      <c r="G16" s="35">
        <v>724</v>
      </c>
      <c r="H16" s="35" t="s">
        <v>95</v>
      </c>
      <c r="I16" s="35">
        <v>1</v>
      </c>
      <c r="J16" s="35">
        <v>0</v>
      </c>
      <c r="K16" s="118" t="s">
        <v>84</v>
      </c>
      <c r="L16" s="35" t="s">
        <v>50</v>
      </c>
      <c r="M16" s="35" t="s">
        <v>407</v>
      </c>
      <c r="N16" s="30">
        <v>289.402346519167</v>
      </c>
      <c r="O16">
        <f t="shared" si="3"/>
        <v>5</v>
      </c>
      <c r="P16" s="73">
        <f t="shared" si="7"/>
        <v>1</v>
      </c>
      <c r="Q16" s="73" t="str">
        <f>IF(P16&gt;1,"Multiple",VLOOKUP(O16,[1]Sheet1!$C$6:$D$17,2,0))</f>
        <v>Laguna Niguel</v>
      </c>
      <c r="R16" s="35">
        <v>0</v>
      </c>
      <c r="S16" s="35">
        <v>0</v>
      </c>
      <c r="T16" s="35">
        <v>0</v>
      </c>
      <c r="U16" s="35">
        <v>0</v>
      </c>
      <c r="V16" s="35">
        <v>97</v>
      </c>
      <c r="W16" s="35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5">
        <v>3</v>
      </c>
      <c r="AD16">
        <v>0</v>
      </c>
      <c r="AE16">
        <v>73</v>
      </c>
      <c r="AF16">
        <v>0</v>
      </c>
      <c r="AG16">
        <v>0</v>
      </c>
      <c r="AH16" s="41">
        <v>3.0345E-2</v>
      </c>
      <c r="AI16" s="41">
        <v>6.3750000000000001E-2</v>
      </c>
      <c r="AJ16" s="53" t="e">
        <f>N16*#REF!/100</f>
        <v>#REF!</v>
      </c>
      <c r="AK16" s="43">
        <v>4.7047499999999999E-2</v>
      </c>
      <c r="AL16" s="43">
        <f t="shared" si="0"/>
        <v>1.6E-2</v>
      </c>
      <c r="AM16" s="44"/>
      <c r="AN16" s="44"/>
      <c r="AO16" s="44"/>
      <c r="AP16" s="44"/>
      <c r="AQ16" s="45" t="s">
        <v>97</v>
      </c>
      <c r="AR16" s="45">
        <v>2.6163538873995001E-2</v>
      </c>
      <c r="AS16" s="45">
        <v>1.6E-2</v>
      </c>
      <c r="AT16" s="45">
        <v>0.38846193257505901</v>
      </c>
      <c r="AU16" s="45">
        <v>0</v>
      </c>
      <c r="AV16" s="45">
        <v>0.372</v>
      </c>
      <c r="AW16" s="45">
        <v>3.2000000000000001E-2</v>
      </c>
      <c r="AX16" s="45">
        <v>1E-3</v>
      </c>
      <c r="AY16" s="45">
        <v>1.2999999999999999E-2</v>
      </c>
      <c r="AZ16" s="54">
        <v>2</v>
      </c>
      <c r="BA16" s="54">
        <v>6.25E-2</v>
      </c>
      <c r="BB16" s="41">
        <v>1.5558011049723999E-2</v>
      </c>
      <c r="BC16" s="41">
        <v>3.7999999999999999E-2</v>
      </c>
      <c r="BD16" s="41">
        <v>1.6E-2</v>
      </c>
      <c r="BE16" s="41">
        <v>0</v>
      </c>
      <c r="BF16" s="41">
        <v>3.6161458333333001E-2</v>
      </c>
      <c r="BG16" s="41">
        <v>0.372</v>
      </c>
      <c r="BH16" s="41">
        <v>1.6E-2</v>
      </c>
      <c r="BI16" s="41">
        <v>0</v>
      </c>
      <c r="BJ16" s="46">
        <f>IFERROR(VLOOKUP(AP16,'Scoring and Weighting'!$B$10:$C$12,2,FALSE),'Scoring and Weighting'!$C$13)</f>
        <v>70</v>
      </c>
      <c r="BK16" s="46">
        <f>VLOOKUP(AL16,'Scoring and Weighting'!$C$19:$F$23,4)</f>
        <v>50</v>
      </c>
      <c r="BL16" s="47">
        <f t="shared" si="1"/>
        <v>6.25</v>
      </c>
      <c r="BM16" s="46" t="e">
        <f>VLOOKUP('Table with Jurisdictions'!AJ16,'Scoring and Weighting'!$C$35:$F$39,4,1)</f>
        <v>#REF!</v>
      </c>
      <c r="BN16" s="46">
        <f t="shared" si="2"/>
        <v>20</v>
      </c>
      <c r="BO16" s="48">
        <f>IFERROR(VLOOKUP(AM16,'Scoring and Weighting'!$B$63:$C$65,2,FALSE),1)</f>
        <v>1</v>
      </c>
      <c r="BP16" s="49">
        <f>BJ16*'Scoring and Weighting'!$C$55*'Table with Jurisdictions'!BO16</f>
        <v>17.5</v>
      </c>
      <c r="BQ16" s="49">
        <f>BK16*BO16*'Scoring and Weighting'!$C$56</f>
        <v>12.5</v>
      </c>
      <c r="BR16" s="49">
        <f>BO16*BL16*'Scoring and Weighting'!$C$57</f>
        <v>1.5625</v>
      </c>
      <c r="BS16" s="49" t="e">
        <f>BO16*BM16*'Scoring and Weighting'!$C$58</f>
        <v>#REF!</v>
      </c>
      <c r="BT16" s="49">
        <f>BO16*BN16*'Scoring and Weighting'!$C$59</f>
        <v>3</v>
      </c>
      <c r="BU16" s="50" t="e">
        <f t="shared" si="5"/>
        <v>#REF!</v>
      </c>
      <c r="BX16" s="30">
        <f t="shared" si="6"/>
        <v>5</v>
      </c>
    </row>
    <row r="17" spans="1:76" x14ac:dyDescent="0.25">
      <c r="A17" s="35" t="s">
        <v>128</v>
      </c>
      <c r="B17" s="35">
        <v>78</v>
      </c>
      <c r="C17" s="75">
        <v>42578.865451388891</v>
      </c>
      <c r="D17" s="35" t="s">
        <v>394</v>
      </c>
      <c r="E17" s="35"/>
      <c r="F17" s="35"/>
      <c r="G17" s="35">
        <v>166</v>
      </c>
      <c r="H17" s="35" t="s">
        <v>62</v>
      </c>
      <c r="I17" s="35">
        <v>1</v>
      </c>
      <c r="J17" s="35">
        <v>0</v>
      </c>
      <c r="K17" s="118" t="s">
        <v>51</v>
      </c>
      <c r="L17" s="35" t="s">
        <v>50</v>
      </c>
      <c r="M17" s="35" t="s">
        <v>408</v>
      </c>
      <c r="N17" s="30">
        <v>382.550476096024</v>
      </c>
      <c r="O17">
        <f t="shared" si="3"/>
        <v>8</v>
      </c>
      <c r="P17" s="73">
        <f t="shared" si="7"/>
        <v>1</v>
      </c>
      <c r="Q17" s="73" t="str">
        <f>IF(P17&gt;1,"Multiple",VLOOKUP(O17,[1]Sheet1!$C$6:$D$17,2,0))</f>
        <v>Mission Viejo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1</v>
      </c>
      <c r="Y17" s="35">
        <v>99</v>
      </c>
      <c r="Z17" s="35">
        <v>0</v>
      </c>
      <c r="AA17" s="35">
        <v>0</v>
      </c>
      <c r="AB17" s="35">
        <v>0</v>
      </c>
      <c r="AC17" s="35">
        <v>0</v>
      </c>
      <c r="AD17">
        <v>0</v>
      </c>
      <c r="AE17">
        <v>0</v>
      </c>
      <c r="AF17">
        <v>100</v>
      </c>
      <c r="AG17">
        <v>0</v>
      </c>
      <c r="AH17" s="41">
        <v>2.1857142857142998E-2</v>
      </c>
      <c r="AI17" s="41">
        <v>4.7600000000000003E-2</v>
      </c>
      <c r="AJ17" s="53" t="e">
        <f>N17*#REF!/100</f>
        <v>#REF!</v>
      </c>
      <c r="AK17" s="43">
        <v>3.4728571428570998E-2</v>
      </c>
      <c r="AL17" s="43">
        <f t="shared" si="0"/>
        <v>0.21099999999999999</v>
      </c>
      <c r="AM17" s="44" t="s">
        <v>52</v>
      </c>
      <c r="AN17" s="44"/>
      <c r="AO17" s="44" t="s">
        <v>53</v>
      </c>
      <c r="AP17" s="44" t="s">
        <v>54</v>
      </c>
      <c r="AQ17" s="45" t="s">
        <v>59</v>
      </c>
      <c r="AR17" s="45">
        <v>0.21868378552971601</v>
      </c>
      <c r="AS17" s="45">
        <v>0.21099999999999999</v>
      </c>
      <c r="AT17" s="45">
        <v>3.5136512344083E-2</v>
      </c>
      <c r="AU17" s="45">
        <v>0.105</v>
      </c>
      <c r="AV17" s="45">
        <v>0.621</v>
      </c>
      <c r="AW17" s="45">
        <v>0.372</v>
      </c>
      <c r="AX17" s="45">
        <v>0.1235</v>
      </c>
      <c r="AY17" s="45">
        <v>0.14699999999999999</v>
      </c>
      <c r="AZ17" s="54">
        <v>1.76303317535545</v>
      </c>
      <c r="BA17" s="54">
        <v>0.58530805687203802</v>
      </c>
      <c r="BB17" s="41">
        <v>0.22227949438202199</v>
      </c>
      <c r="BC17" s="41">
        <v>0.621</v>
      </c>
      <c r="BD17" s="41">
        <v>0.214</v>
      </c>
      <c r="BE17" s="41">
        <v>0.105</v>
      </c>
      <c r="BF17" s="41">
        <v>0.210683333333333</v>
      </c>
      <c r="BG17" s="41">
        <v>0.47</v>
      </c>
      <c r="BH17" s="41">
        <v>0.20499999999999999</v>
      </c>
      <c r="BI17" s="41">
        <v>0.108</v>
      </c>
      <c r="BJ17" s="46">
        <f>IFERROR(VLOOKUP(AP17,'Scoring and Weighting'!$B$10:$C$12,2,FALSE),'Scoring and Weighting'!$C$13)</f>
        <v>100</v>
      </c>
      <c r="BK17" s="46">
        <f>VLOOKUP(AL17,'Scoring and Weighting'!$C$19:$F$23,4)</f>
        <v>100</v>
      </c>
      <c r="BL17" s="47">
        <f t="shared" si="1"/>
        <v>58.530805687203802</v>
      </c>
      <c r="BM17" s="46" t="e">
        <f>VLOOKUP('Table with Jurisdictions'!AJ17,'Scoring and Weighting'!$C$35:$F$39,4,1)</f>
        <v>#REF!</v>
      </c>
      <c r="BN17" s="46">
        <f t="shared" si="2"/>
        <v>80</v>
      </c>
      <c r="BO17" s="48">
        <f>IFERROR(VLOOKUP(AM17,'Scoring and Weighting'!$B$63:$C$65,2,FALSE),1)</f>
        <v>1</v>
      </c>
      <c r="BP17" s="49">
        <f>BJ17*'Scoring and Weighting'!$C$55*'Table with Jurisdictions'!BO17</f>
        <v>25</v>
      </c>
      <c r="BQ17" s="49">
        <f>BK17*BO17*'Scoring and Weighting'!$C$56</f>
        <v>25</v>
      </c>
      <c r="BR17" s="49">
        <f>BO17*BL17*'Scoring and Weighting'!$C$57</f>
        <v>14.632701421800951</v>
      </c>
      <c r="BS17" s="49" t="e">
        <f>BO17*BM17*'Scoring and Weighting'!$C$58</f>
        <v>#REF!</v>
      </c>
      <c r="BT17" s="49">
        <f>BO17*BN17*'Scoring and Weighting'!$C$59</f>
        <v>12</v>
      </c>
      <c r="BU17" s="50" t="e">
        <f t="shared" si="5"/>
        <v>#REF!</v>
      </c>
      <c r="BX17" s="30">
        <f t="shared" si="6"/>
        <v>8</v>
      </c>
    </row>
    <row r="18" spans="1:76" x14ac:dyDescent="0.25">
      <c r="A18" s="35" t="s">
        <v>74</v>
      </c>
      <c r="B18" s="35">
        <v>78</v>
      </c>
      <c r="C18" s="75">
        <v>42578.868425925924</v>
      </c>
      <c r="D18" s="35" t="s">
        <v>394</v>
      </c>
      <c r="E18" s="35"/>
      <c r="F18" s="35"/>
      <c r="G18" s="35">
        <v>418</v>
      </c>
      <c r="H18" s="35" t="s">
        <v>109</v>
      </c>
      <c r="I18" s="35">
        <v>1</v>
      </c>
      <c r="J18" s="35">
        <v>0</v>
      </c>
      <c r="K18" s="118" t="s">
        <v>51</v>
      </c>
      <c r="L18" s="35" t="s">
        <v>50</v>
      </c>
      <c r="M18" s="35" t="s">
        <v>409</v>
      </c>
      <c r="N18" s="30">
        <v>365.78712290372903</v>
      </c>
      <c r="O18">
        <f t="shared" si="3"/>
        <v>1</v>
      </c>
      <c r="P18" s="73">
        <f t="shared" si="7"/>
        <v>1</v>
      </c>
      <c r="Q18" s="73" t="str">
        <f>IF(P18&gt;1,"Multiple",VLOOKUP(O18,[1]Sheet1!$C$6:$D$17,2,0))</f>
        <v>Aliso Viejo</v>
      </c>
      <c r="R18" s="35">
        <v>100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>
        <v>0</v>
      </c>
      <c r="AE18">
        <v>0</v>
      </c>
      <c r="AF18">
        <v>0</v>
      </c>
      <c r="AG18">
        <v>0</v>
      </c>
      <c r="AH18" s="41">
        <v>0.442</v>
      </c>
      <c r="AI18" s="41">
        <v>0.442</v>
      </c>
      <c r="AJ18" s="53" t="e">
        <f>N18*#REF!/100</f>
        <v>#REF!</v>
      </c>
      <c r="AK18" s="43">
        <v>0.442</v>
      </c>
      <c r="AL18" s="43">
        <f t="shared" si="0"/>
        <v>0.68500000000000005</v>
      </c>
      <c r="AM18" s="44"/>
      <c r="AN18" s="44"/>
      <c r="AO18" s="44"/>
      <c r="AP18" s="44"/>
      <c r="AQ18" s="45" t="s">
        <v>104</v>
      </c>
      <c r="AR18" s="45">
        <v>0.69905064267352202</v>
      </c>
      <c r="AS18" s="45">
        <v>0.68500000000000005</v>
      </c>
      <c r="AT18" s="45">
        <v>2.0099606259977001E-2</v>
      </c>
      <c r="AU18" s="45">
        <v>0.32600000000000001</v>
      </c>
      <c r="AV18" s="45">
        <v>1.17</v>
      </c>
      <c r="AW18" s="45">
        <v>0.92900000000000005</v>
      </c>
      <c r="AX18" s="45">
        <v>0.47499999999999998</v>
      </c>
      <c r="AY18" s="45">
        <v>0.68500000000000005</v>
      </c>
      <c r="AZ18" s="54">
        <v>1.35620437956204</v>
      </c>
      <c r="BA18" s="54">
        <v>0.69343065693430594</v>
      </c>
      <c r="BB18" s="41">
        <v>0.71724068663257901</v>
      </c>
      <c r="BC18" s="41">
        <v>1.17</v>
      </c>
      <c r="BD18" s="41">
        <v>0.7</v>
      </c>
      <c r="BE18" s="41">
        <v>0.38700000000000001</v>
      </c>
      <c r="BF18" s="41">
        <v>0.65581770833333297</v>
      </c>
      <c r="BG18" s="41">
        <v>1.0900000000000001</v>
      </c>
      <c r="BH18" s="41">
        <v>0.64900000000000002</v>
      </c>
      <c r="BI18" s="41">
        <v>0.32600000000000001</v>
      </c>
      <c r="BJ18" s="46">
        <f>IFERROR(VLOOKUP(AP18,'Scoring and Weighting'!$B$10:$C$12,2,FALSE),'Scoring and Weighting'!$C$13)</f>
        <v>70</v>
      </c>
      <c r="BK18" s="46">
        <f>VLOOKUP(AL18,'Scoring and Weighting'!$C$19:$F$23,4)</f>
        <v>100</v>
      </c>
      <c r="BL18" s="47">
        <f t="shared" si="1"/>
        <v>69.343065693430589</v>
      </c>
      <c r="BM18" s="46" t="e">
        <f>VLOOKUP('Table with Jurisdictions'!AJ18,'Scoring and Weighting'!$C$35:$F$39,4,1)</f>
        <v>#REF!</v>
      </c>
      <c r="BN18" s="46">
        <f t="shared" si="2"/>
        <v>20</v>
      </c>
      <c r="BO18" s="48">
        <f>IFERROR(VLOOKUP(AM18,'Scoring and Weighting'!$B$63:$C$65,2,FALSE),1)</f>
        <v>1</v>
      </c>
      <c r="BP18" s="49">
        <f>BJ18*'Scoring and Weighting'!$C$55*'Table with Jurisdictions'!BO18</f>
        <v>17.5</v>
      </c>
      <c r="BQ18" s="49">
        <f>BK18*BO18*'Scoring and Weighting'!$C$56</f>
        <v>25</v>
      </c>
      <c r="BR18" s="49">
        <f>BO18*BL18*'Scoring and Weighting'!$C$57</f>
        <v>17.335766423357647</v>
      </c>
      <c r="BS18" s="49" t="e">
        <f>BO18*BM18*'Scoring and Weighting'!$C$58</f>
        <v>#REF!</v>
      </c>
      <c r="BT18" s="49">
        <f>BO18*BN18*'Scoring and Weighting'!$C$59</f>
        <v>3</v>
      </c>
      <c r="BU18" s="50" t="e">
        <f t="shared" si="5"/>
        <v>#REF!</v>
      </c>
      <c r="BX18" s="30">
        <f t="shared" si="6"/>
        <v>1</v>
      </c>
    </row>
    <row r="19" spans="1:76" x14ac:dyDescent="0.25">
      <c r="A19" s="35" t="s">
        <v>93</v>
      </c>
      <c r="B19" s="35">
        <v>96</v>
      </c>
      <c r="C19" s="75">
        <v>42578.870775462965</v>
      </c>
      <c r="D19" s="35" t="s">
        <v>394</v>
      </c>
      <c r="E19" s="35"/>
      <c r="F19" s="35"/>
      <c r="G19" s="35">
        <v>136</v>
      </c>
      <c r="H19" s="35" t="s">
        <v>102</v>
      </c>
      <c r="I19" s="35">
        <v>1</v>
      </c>
      <c r="J19" s="35">
        <v>0</v>
      </c>
      <c r="K19" s="118" t="s">
        <v>64</v>
      </c>
      <c r="L19" s="35" t="s">
        <v>50</v>
      </c>
      <c r="M19" s="35" t="s">
        <v>410</v>
      </c>
      <c r="N19" s="30">
        <v>365.04194301242501</v>
      </c>
      <c r="O19">
        <f t="shared" si="3"/>
        <v>10</v>
      </c>
      <c r="P19" s="73">
        <f t="shared" si="7"/>
        <v>2</v>
      </c>
      <c r="Q19" s="73" t="str">
        <f>IF(P19&gt;1,"Multiple",VLOOKUP(O19,[1]Sheet1!$C$6:$D$17,2,0))</f>
        <v>Multiple</v>
      </c>
      <c r="R19" s="35">
        <v>0</v>
      </c>
      <c r="S19" s="35">
        <v>0</v>
      </c>
      <c r="T19" s="35">
        <v>0</v>
      </c>
      <c r="U19" s="35">
        <v>0</v>
      </c>
      <c r="V19" s="35">
        <v>27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73</v>
      </c>
      <c r="AD19">
        <v>0</v>
      </c>
      <c r="AE19">
        <v>0</v>
      </c>
      <c r="AF19">
        <v>0</v>
      </c>
      <c r="AG19">
        <v>0</v>
      </c>
      <c r="AH19" s="41">
        <v>3.8636363636364003E-2</v>
      </c>
      <c r="AI19" s="41">
        <v>0.245933333333333</v>
      </c>
      <c r="AJ19" s="53" t="e">
        <f>N19*#REF!/100</f>
        <v>#REF!</v>
      </c>
      <c r="AK19" s="43">
        <v>0.135656565656566</v>
      </c>
      <c r="AL19" s="43">
        <f t="shared" si="0"/>
        <v>0.5</v>
      </c>
      <c r="AM19" s="44" t="s">
        <v>52</v>
      </c>
      <c r="AN19" s="44"/>
      <c r="AO19" s="44"/>
      <c r="AP19" s="44" t="s">
        <v>54</v>
      </c>
      <c r="AQ19" s="45" t="s">
        <v>106</v>
      </c>
      <c r="AR19" s="45">
        <v>0.49433648609916903</v>
      </c>
      <c r="AS19" s="45">
        <v>0.5</v>
      </c>
      <c r="AT19" s="45">
        <v>-1.145679928569E-2</v>
      </c>
      <c r="AU19" s="45">
        <v>0.36199999999999999</v>
      </c>
      <c r="AV19" s="45">
        <v>0.75700000000000001</v>
      </c>
      <c r="AW19" s="45">
        <v>0.59899999999999998</v>
      </c>
      <c r="AX19" s="45">
        <v>0.44800000000000001</v>
      </c>
      <c r="AY19" s="45">
        <v>0.504</v>
      </c>
      <c r="AZ19" s="54">
        <v>1.198</v>
      </c>
      <c r="BA19" s="54">
        <v>0.89600000000000002</v>
      </c>
      <c r="BB19" s="41">
        <v>0.50131988928430204</v>
      </c>
      <c r="BC19" s="41">
        <v>0.68899999999999995</v>
      </c>
      <c r="BD19" s="41">
        <v>0.50700000000000001</v>
      </c>
      <c r="BE19" s="41">
        <v>0.36199999999999999</v>
      </c>
      <c r="BF19" s="41">
        <v>0.47593958333333303</v>
      </c>
      <c r="BG19" s="41">
        <v>0.75700000000000001</v>
      </c>
      <c r="BH19" s="41">
        <v>0.46700000000000003</v>
      </c>
      <c r="BI19" s="41">
        <v>0.36599999999999999</v>
      </c>
      <c r="BJ19" s="46">
        <f>IFERROR(VLOOKUP(AP19,'Scoring and Weighting'!$B$10:$C$12,2,FALSE),'Scoring and Weighting'!$C$13)</f>
        <v>100</v>
      </c>
      <c r="BK19" s="46">
        <f>VLOOKUP(AL19,'Scoring and Weighting'!$C$19:$F$23,4)</f>
        <v>100</v>
      </c>
      <c r="BL19" s="47">
        <f t="shared" si="1"/>
        <v>89.600000000000009</v>
      </c>
      <c r="BM19" s="46" t="e">
        <f>VLOOKUP('Table with Jurisdictions'!AJ19,'Scoring and Weighting'!$C$35:$F$39,4,1)</f>
        <v>#REF!</v>
      </c>
      <c r="BN19" s="46">
        <f t="shared" si="2"/>
        <v>80</v>
      </c>
      <c r="BO19" s="48">
        <f>IFERROR(VLOOKUP(AM19,'Scoring and Weighting'!$B$63:$C$65,2,FALSE),1)</f>
        <v>1</v>
      </c>
      <c r="BP19" s="49">
        <f>BJ19*'Scoring and Weighting'!$C$55*'Table with Jurisdictions'!BO19</f>
        <v>25</v>
      </c>
      <c r="BQ19" s="49">
        <f>BK19*BO19*'Scoring and Weighting'!$C$56</f>
        <v>25</v>
      </c>
      <c r="BR19" s="49">
        <f>BO19*BL19*'Scoring and Weighting'!$C$57</f>
        <v>22.400000000000002</v>
      </c>
      <c r="BS19" s="49" t="e">
        <f>BO19*BM19*'Scoring and Weighting'!$C$58</f>
        <v>#REF!</v>
      </c>
      <c r="BT19" s="49">
        <f>BO19*BN19*'Scoring and Weighting'!$C$59</f>
        <v>12</v>
      </c>
      <c r="BU19" s="50" t="e">
        <f t="shared" si="5"/>
        <v>#REF!</v>
      </c>
      <c r="BX19" s="30">
        <f t="shared" si="6"/>
        <v>10</v>
      </c>
    </row>
    <row r="20" spans="1:76" x14ac:dyDescent="0.25">
      <c r="A20" s="35" t="s">
        <v>123</v>
      </c>
      <c r="B20" s="35">
        <v>84</v>
      </c>
      <c r="C20" s="75">
        <v>42578.870486111111</v>
      </c>
      <c r="D20" s="35" t="s">
        <v>394</v>
      </c>
      <c r="E20" s="35"/>
      <c r="F20" s="35"/>
      <c r="G20" s="35">
        <v>266</v>
      </c>
      <c r="H20" s="35" t="s">
        <v>102</v>
      </c>
      <c r="I20" s="35">
        <v>1</v>
      </c>
      <c r="J20" s="35">
        <v>0</v>
      </c>
      <c r="K20" s="118" t="s">
        <v>64</v>
      </c>
      <c r="L20" s="35" t="s">
        <v>50</v>
      </c>
      <c r="M20" s="35" t="s">
        <v>411</v>
      </c>
      <c r="N20" s="30">
        <v>856.42405256516099</v>
      </c>
      <c r="O20">
        <f t="shared" si="3"/>
        <v>9</v>
      </c>
      <c r="P20" s="73">
        <f t="shared" si="7"/>
        <v>3</v>
      </c>
      <c r="Q20" s="73" t="str">
        <f>IF(P20&gt;1,"Multiple",VLOOKUP(O20,[1]Sheet1!$C$6:$D$17,2,0))</f>
        <v>Multiple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5">
        <v>27</v>
      </c>
      <c r="Z20" s="35">
        <v>39</v>
      </c>
      <c r="AA20" s="35">
        <v>34</v>
      </c>
      <c r="AB20" s="35">
        <v>0</v>
      </c>
      <c r="AC20" s="35">
        <v>0</v>
      </c>
      <c r="AD20">
        <v>0</v>
      </c>
      <c r="AE20">
        <v>0</v>
      </c>
      <c r="AF20">
        <v>0</v>
      </c>
      <c r="AG20">
        <v>0</v>
      </c>
      <c r="AH20" s="41">
        <v>0.35699999999999998</v>
      </c>
      <c r="AI20" s="41">
        <v>0.35699999999999998</v>
      </c>
      <c r="AJ20" s="53" t="e">
        <f>N20*#REF!/100</f>
        <v>#REF!</v>
      </c>
      <c r="AK20" s="43">
        <v>0.35699999999999998</v>
      </c>
      <c r="AL20" s="43">
        <f t="shared" si="0"/>
        <v>0.191</v>
      </c>
      <c r="AM20" s="44" t="s">
        <v>110</v>
      </c>
      <c r="AN20" s="44" t="s">
        <v>53</v>
      </c>
      <c r="AO20" s="44" t="s">
        <v>53</v>
      </c>
      <c r="AP20" s="44" t="s">
        <v>69</v>
      </c>
      <c r="AQ20" s="45" t="s">
        <v>111</v>
      </c>
      <c r="AR20" s="45">
        <v>0.205413955798361</v>
      </c>
      <c r="AS20" s="45">
        <v>0.191</v>
      </c>
      <c r="AT20" s="45">
        <v>7.0170284888093001E-2</v>
      </c>
      <c r="AU20" s="45">
        <v>5.8000000000000003E-2</v>
      </c>
      <c r="AV20" s="45">
        <v>0.60899999999999999</v>
      </c>
      <c r="AW20" s="45">
        <v>0.34100000000000003</v>
      </c>
      <c r="AX20" s="45">
        <v>9.2999999999999999E-2</v>
      </c>
      <c r="AY20" s="45">
        <v>0.247</v>
      </c>
      <c r="AZ20" s="54">
        <v>1.7853403141361299</v>
      </c>
      <c r="BA20" s="54">
        <v>0.48691099476439798</v>
      </c>
      <c r="BB20" s="41">
        <v>0.21042295652173901</v>
      </c>
      <c r="BC20" s="41">
        <v>0.60899999999999999</v>
      </c>
      <c r="BD20" s="41">
        <v>0.193</v>
      </c>
      <c r="BE20" s="41">
        <v>5.8000000000000003E-2</v>
      </c>
      <c r="BF20" s="41">
        <v>0.19291319444444399</v>
      </c>
      <c r="BG20" s="41">
        <v>0.377</v>
      </c>
      <c r="BH20" s="41">
        <v>0.185</v>
      </c>
      <c r="BI20" s="41">
        <v>6.6000000000000003E-2</v>
      </c>
      <c r="BJ20" s="46">
        <f>IFERROR(VLOOKUP(AP20,'Scoring and Weighting'!$B$10:$C$12,2,FALSE),'Scoring and Weighting'!$C$13)</f>
        <v>80</v>
      </c>
      <c r="BK20" s="46">
        <f>VLOOKUP(AL20,'Scoring and Weighting'!$C$19:$F$23,4)</f>
        <v>90</v>
      </c>
      <c r="BL20" s="47">
        <f t="shared" si="1"/>
        <v>48.691099476439796</v>
      </c>
      <c r="BM20" s="46" t="e">
        <f>VLOOKUP('Table with Jurisdictions'!AJ20,'Scoring and Weighting'!$C$35:$F$39,4,1)</f>
        <v>#REF!</v>
      </c>
      <c r="BN20" s="46">
        <f t="shared" si="2"/>
        <v>80</v>
      </c>
      <c r="BO20" s="48">
        <f>IFERROR(VLOOKUP(AM20,'Scoring and Weighting'!$B$63:$C$65,2,FALSE),1)</f>
        <v>0.5</v>
      </c>
      <c r="BP20" s="49">
        <f>BJ20*'Scoring and Weighting'!$C$55*'Table with Jurisdictions'!BO20</f>
        <v>10</v>
      </c>
      <c r="BQ20" s="49">
        <f>BK20*BO20*'Scoring and Weighting'!$C$56</f>
        <v>11.25</v>
      </c>
      <c r="BR20" s="49">
        <f>BO20*BL20*'Scoring and Weighting'!$C$57</f>
        <v>6.0863874345549744</v>
      </c>
      <c r="BS20" s="49" t="e">
        <f>BO20*BM20*'Scoring and Weighting'!$C$58</f>
        <v>#REF!</v>
      </c>
      <c r="BT20" s="49">
        <f>BO20*BN20*'Scoring and Weighting'!$C$59</f>
        <v>6</v>
      </c>
      <c r="BU20" s="50" t="e">
        <f t="shared" si="5"/>
        <v>#REF!</v>
      </c>
      <c r="BX20" s="30">
        <f t="shared" si="6"/>
        <v>9</v>
      </c>
    </row>
    <row r="21" spans="1:76" x14ac:dyDescent="0.25">
      <c r="A21" s="35" t="s">
        <v>157</v>
      </c>
      <c r="B21" s="35">
        <v>39</v>
      </c>
      <c r="C21" s="75">
        <v>42570.94771990741</v>
      </c>
      <c r="D21" s="35" t="s">
        <v>394</v>
      </c>
      <c r="E21" s="35"/>
      <c r="F21" s="35"/>
      <c r="G21" s="35">
        <v>9109</v>
      </c>
      <c r="H21" s="35" t="s">
        <v>130</v>
      </c>
      <c r="I21" s="35">
        <v>1</v>
      </c>
      <c r="J21" s="35">
        <v>0</v>
      </c>
      <c r="K21" s="118" t="s">
        <v>51</v>
      </c>
      <c r="L21" s="35" t="s">
        <v>50</v>
      </c>
      <c r="M21" s="35" t="s">
        <v>412</v>
      </c>
      <c r="N21" s="30">
        <v>222.46726523817301</v>
      </c>
      <c r="O21">
        <f t="shared" si="3"/>
        <v>5</v>
      </c>
      <c r="P21" s="73">
        <f t="shared" si="7"/>
        <v>1</v>
      </c>
      <c r="Q21" s="73" t="str">
        <f>IF(P21&gt;1,"Multiple",VLOOKUP(O21,[1]Sheet1!$C$6:$D$17,2,0))</f>
        <v>Laguna Niguel</v>
      </c>
      <c r="R21" s="35">
        <v>2</v>
      </c>
      <c r="S21" s="35">
        <v>0</v>
      </c>
      <c r="T21" s="35">
        <v>0</v>
      </c>
      <c r="U21" s="35">
        <v>0</v>
      </c>
      <c r="V21" s="35">
        <v>98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>
        <v>0</v>
      </c>
      <c r="AE21">
        <v>0</v>
      </c>
      <c r="AF21">
        <v>0</v>
      </c>
      <c r="AG21">
        <v>0</v>
      </c>
      <c r="AH21" s="41">
        <v>0.33915000000000001</v>
      </c>
      <c r="AI21" s="41">
        <v>0.56100000000000005</v>
      </c>
      <c r="AJ21" s="53" t="e">
        <f>N21*#REF!/100</f>
        <v>#REF!</v>
      </c>
      <c r="AK21" s="43">
        <v>0.44455</v>
      </c>
      <c r="AL21" s="43">
        <f t="shared" si="0"/>
        <v>0.20300000000000001</v>
      </c>
      <c r="AM21" s="44" t="s">
        <v>52</v>
      </c>
      <c r="AN21" s="44" t="s">
        <v>53</v>
      </c>
      <c r="AO21" s="44" t="s">
        <v>53</v>
      </c>
      <c r="AP21" s="44" t="s">
        <v>114</v>
      </c>
      <c r="AQ21" s="45" t="s">
        <v>73</v>
      </c>
      <c r="AR21" s="45">
        <v>0.20561653759680201</v>
      </c>
      <c r="AS21" s="45">
        <v>0.20300000000000001</v>
      </c>
      <c r="AT21" s="45">
        <v>1.2725326607402001E-2</v>
      </c>
      <c r="AU21" s="45">
        <v>8.5999999999999993E-2</v>
      </c>
      <c r="AV21" s="45">
        <v>0.41299999999999998</v>
      </c>
      <c r="AW21" s="45">
        <v>0.33500000000000002</v>
      </c>
      <c r="AX21" s="45">
        <v>0.127</v>
      </c>
      <c r="AY21" s="45">
        <v>0.17</v>
      </c>
      <c r="AZ21" s="54">
        <v>1.65024630541872</v>
      </c>
      <c r="BA21" s="54">
        <v>0.62561576354679804</v>
      </c>
      <c r="BB21" s="41">
        <v>0.20531462644686099</v>
      </c>
      <c r="BC21" s="41">
        <v>0.41299999999999998</v>
      </c>
      <c r="BD21" s="41">
        <v>0.20300000000000001</v>
      </c>
      <c r="BE21" s="41">
        <v>0.105</v>
      </c>
      <c r="BF21" s="41">
        <v>0.206363715277778</v>
      </c>
      <c r="BG21" s="41">
        <v>0.41299999999999998</v>
      </c>
      <c r="BH21" s="41">
        <v>0.21099999999999999</v>
      </c>
      <c r="BI21" s="41">
        <v>8.5999999999999993E-2</v>
      </c>
      <c r="BJ21" s="46">
        <f>IFERROR(VLOOKUP(AP21,'Scoring and Weighting'!$B$10:$C$12,2,FALSE),'Scoring and Weighting'!$C$13)</f>
        <v>60</v>
      </c>
      <c r="BK21" s="46">
        <f>VLOOKUP(AL21,'Scoring and Weighting'!$C$19:$F$23,4)</f>
        <v>90</v>
      </c>
      <c r="BL21" s="47">
        <f t="shared" si="1"/>
        <v>62.561576354679801</v>
      </c>
      <c r="BM21" s="46" t="e">
        <f>VLOOKUP('Table with Jurisdictions'!AJ21,'Scoring and Weighting'!$C$35:$F$39,4,1)</f>
        <v>#REF!</v>
      </c>
      <c r="BN21" s="46">
        <f t="shared" si="2"/>
        <v>80</v>
      </c>
      <c r="BO21" s="48">
        <f>IFERROR(VLOOKUP(AM21,'Scoring and Weighting'!$B$63:$C$65,2,FALSE),1)</f>
        <v>1</v>
      </c>
      <c r="BP21" s="49">
        <f>BJ21*'Scoring and Weighting'!$C$55*'Table with Jurisdictions'!BO21</f>
        <v>15</v>
      </c>
      <c r="BQ21" s="49">
        <f>BK21*BO21*'Scoring and Weighting'!$C$56</f>
        <v>22.5</v>
      </c>
      <c r="BR21" s="49">
        <f>BO21*BL21*'Scoring and Weighting'!$C$57</f>
        <v>15.64039408866995</v>
      </c>
      <c r="BS21" s="49" t="e">
        <f>BO21*BM21*'Scoring and Weighting'!$C$58</f>
        <v>#REF!</v>
      </c>
      <c r="BT21" s="49">
        <f>BO21*BN21*'Scoring and Weighting'!$C$59</f>
        <v>12</v>
      </c>
      <c r="BU21" s="50" t="e">
        <f t="shared" si="5"/>
        <v>#REF!</v>
      </c>
      <c r="BX21" s="30">
        <f t="shared" si="6"/>
        <v>5</v>
      </c>
    </row>
    <row r="22" spans="1:76" x14ac:dyDescent="0.25">
      <c r="A22" s="35" t="s">
        <v>71</v>
      </c>
      <c r="B22" s="35">
        <v>66</v>
      </c>
      <c r="C22" s="75">
        <v>42578.86818287037</v>
      </c>
      <c r="D22" s="35" t="s">
        <v>394</v>
      </c>
      <c r="E22" s="35"/>
      <c r="F22" s="35"/>
      <c r="G22" s="35">
        <v>691</v>
      </c>
      <c r="H22" s="35" t="s">
        <v>109</v>
      </c>
      <c r="I22" s="35">
        <v>1</v>
      </c>
      <c r="J22" s="35">
        <v>0</v>
      </c>
      <c r="K22" s="118" t="s">
        <v>64</v>
      </c>
      <c r="L22" s="35" t="s">
        <v>50</v>
      </c>
      <c r="M22" s="35" t="s">
        <v>413</v>
      </c>
      <c r="N22" s="30">
        <v>228.030102778795</v>
      </c>
      <c r="O22">
        <f t="shared" si="3"/>
        <v>10</v>
      </c>
      <c r="P22" s="73">
        <f t="shared" si="7"/>
        <v>1</v>
      </c>
      <c r="Q22" s="73" t="str">
        <f>IF(P22&gt;1,"Multiple",VLOOKUP(O22,[1]Sheet1!$C$6:$D$17,2,0))</f>
        <v>Rancho Santa Margarita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100</v>
      </c>
      <c r="AB22" s="35">
        <v>0</v>
      </c>
      <c r="AC22" s="35">
        <v>0</v>
      </c>
      <c r="AD22">
        <v>0</v>
      </c>
      <c r="AE22">
        <v>0</v>
      </c>
      <c r="AF22">
        <v>0</v>
      </c>
      <c r="AG22">
        <v>0</v>
      </c>
      <c r="AH22" s="41">
        <v>7.6499999999999999E-2</v>
      </c>
      <c r="AI22" s="41">
        <v>7.6499999999999999E-2</v>
      </c>
      <c r="AJ22" s="53" t="e">
        <f>N22*#REF!/100</f>
        <v>#REF!</v>
      </c>
      <c r="AK22" s="43">
        <v>7.6499999999999999E-2</v>
      </c>
      <c r="AL22" s="43">
        <f t="shared" si="0"/>
        <v>8.6999999999999994E-2</v>
      </c>
      <c r="AM22" s="44" t="s">
        <v>52</v>
      </c>
      <c r="AN22" s="44" t="s">
        <v>53</v>
      </c>
      <c r="AO22" s="44" t="s">
        <v>53</v>
      </c>
      <c r="AP22" s="44" t="s">
        <v>114</v>
      </c>
      <c r="AQ22" s="45" t="s">
        <v>106</v>
      </c>
      <c r="AR22" s="45">
        <v>0.10218254420992599</v>
      </c>
      <c r="AS22" s="45">
        <v>8.6999999999999994E-2</v>
      </c>
      <c r="AT22" s="45">
        <v>0.14858256199546699</v>
      </c>
      <c r="AU22" s="45">
        <v>6.0000000000000001E-3</v>
      </c>
      <c r="AV22" s="45">
        <v>0.48299999999999998</v>
      </c>
      <c r="AW22" s="45">
        <v>0.34300000000000003</v>
      </c>
      <c r="AX22" s="45">
        <v>1.95E-2</v>
      </c>
      <c r="AY22" s="45">
        <v>3.5999999999999997E-2</v>
      </c>
      <c r="AZ22" s="54">
        <v>3.9425287356321799</v>
      </c>
      <c r="BA22" s="54">
        <v>0.22413793103448301</v>
      </c>
      <c r="BB22" s="41">
        <v>0.10593014128728399</v>
      </c>
      <c r="BC22" s="41">
        <v>0.48299999999999998</v>
      </c>
      <c r="BD22" s="41">
        <v>9.0999999999999998E-2</v>
      </c>
      <c r="BE22" s="41">
        <v>0.01</v>
      </c>
      <c r="BF22" s="41">
        <v>9.2215031315240004E-2</v>
      </c>
      <c r="BG22" s="41">
        <v>0.46</v>
      </c>
      <c r="BH22" s="41">
        <v>7.4999999999999997E-2</v>
      </c>
      <c r="BI22" s="41">
        <v>6.0000000000000001E-3</v>
      </c>
      <c r="BJ22" s="46">
        <f>IFERROR(VLOOKUP(AP22,'Scoring and Weighting'!$B$10:$C$12,2,FALSE),'Scoring and Weighting'!$C$13)</f>
        <v>60</v>
      </c>
      <c r="BK22" s="46">
        <f>VLOOKUP(AL22,'Scoring and Weighting'!$C$19:$F$23,4)</f>
        <v>70</v>
      </c>
      <c r="BL22" s="47">
        <f t="shared" si="1"/>
        <v>22.413793103448302</v>
      </c>
      <c r="BM22" s="46" t="e">
        <f>VLOOKUP('Table with Jurisdictions'!AJ22,'Scoring and Weighting'!$C$35:$F$39,4,1)</f>
        <v>#REF!</v>
      </c>
      <c r="BN22" s="46">
        <f t="shared" si="2"/>
        <v>80</v>
      </c>
      <c r="BO22" s="48">
        <f>IFERROR(VLOOKUP(AM22,'Scoring and Weighting'!$B$63:$C$65,2,FALSE),1)</f>
        <v>1</v>
      </c>
      <c r="BP22" s="49">
        <f>BJ22*'Scoring and Weighting'!$C$55*'Table with Jurisdictions'!BO22</f>
        <v>15</v>
      </c>
      <c r="BQ22" s="49">
        <f>BK22*BO22*'Scoring and Weighting'!$C$56</f>
        <v>17.5</v>
      </c>
      <c r="BR22" s="49">
        <f>BO22*BL22*'Scoring and Weighting'!$C$57</f>
        <v>5.6034482758620756</v>
      </c>
      <c r="BS22" s="49" t="e">
        <f>BO22*BM22*'Scoring and Weighting'!$C$58</f>
        <v>#REF!</v>
      </c>
      <c r="BT22" s="49">
        <f>BO22*BN22*'Scoring and Weighting'!$C$59</f>
        <v>12</v>
      </c>
      <c r="BU22" s="50" t="e">
        <f t="shared" si="5"/>
        <v>#REF!</v>
      </c>
      <c r="BX22" s="30">
        <f t="shared" si="6"/>
        <v>10</v>
      </c>
    </row>
    <row r="23" spans="1:76" x14ac:dyDescent="0.25">
      <c r="A23" s="35" t="s">
        <v>530</v>
      </c>
      <c r="B23" s="35">
        <v>78</v>
      </c>
      <c r="C23" s="75">
        <v>42578.868969907409</v>
      </c>
      <c r="D23" s="35" t="s">
        <v>394</v>
      </c>
      <c r="E23" s="35"/>
      <c r="F23" s="35"/>
      <c r="G23" s="35">
        <v>316</v>
      </c>
      <c r="H23" s="35" t="s">
        <v>109</v>
      </c>
      <c r="I23" s="35">
        <v>1</v>
      </c>
      <c r="J23" s="35">
        <v>0</v>
      </c>
      <c r="K23" s="118" t="s">
        <v>51</v>
      </c>
      <c r="L23" s="35" t="s">
        <v>50</v>
      </c>
      <c r="M23" s="35" t="s">
        <v>414</v>
      </c>
      <c r="N23" s="30">
        <v>232.090781711548</v>
      </c>
      <c r="O23">
        <f t="shared" si="3"/>
        <v>5</v>
      </c>
      <c r="P23" s="73">
        <f t="shared" si="7"/>
        <v>1</v>
      </c>
      <c r="Q23" s="73" t="str">
        <f>IF(P23&gt;1,"Multiple",VLOOKUP(O23,[1]Sheet1!$C$6:$D$17,2,0))</f>
        <v>Laguna Niguel</v>
      </c>
      <c r="R23" s="35">
        <v>0</v>
      </c>
      <c r="S23" s="35">
        <v>0</v>
      </c>
      <c r="T23" s="35">
        <v>0</v>
      </c>
      <c r="U23" s="35">
        <v>0</v>
      </c>
      <c r="V23" s="35">
        <v>99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1</v>
      </c>
      <c r="AD23">
        <v>0</v>
      </c>
      <c r="AE23">
        <v>0</v>
      </c>
      <c r="AF23">
        <v>0</v>
      </c>
      <c r="AG23">
        <v>0</v>
      </c>
      <c r="AH23" s="41">
        <v>5.7375000000000002E-2</v>
      </c>
      <c r="AI23" s="41">
        <v>7.6499999999999999E-2</v>
      </c>
      <c r="AJ23" s="53" t="e">
        <f>N23*#REF!/100</f>
        <v>#REF!</v>
      </c>
      <c r="AK23" s="43">
        <v>6.6937499999999997E-2</v>
      </c>
      <c r="AL23" s="43">
        <f t="shared" si="0"/>
        <v>3.6999999999999998E-2</v>
      </c>
      <c r="AM23" s="44" t="s">
        <v>52</v>
      </c>
      <c r="AN23" s="44"/>
      <c r="AO23" s="44" t="s">
        <v>53</v>
      </c>
      <c r="AP23" s="44" t="s">
        <v>54</v>
      </c>
      <c r="AQ23" s="45" t="s">
        <v>119</v>
      </c>
      <c r="AR23" s="45">
        <v>4.1715337423313001E-2</v>
      </c>
      <c r="AS23" s="45">
        <v>3.6999999999999998E-2</v>
      </c>
      <c r="AT23" s="45">
        <v>0.113036060944761</v>
      </c>
      <c r="AU23" s="45">
        <v>0</v>
      </c>
      <c r="AV23" s="45">
        <v>0.125</v>
      </c>
      <c r="AW23" s="45">
        <v>9.1999999999999998E-2</v>
      </c>
      <c r="AX23" s="45">
        <v>1.7999999999999999E-2</v>
      </c>
      <c r="AY23" s="45">
        <v>2.5000000000000001E-2</v>
      </c>
      <c r="AZ23" s="54">
        <v>2.48648648648649</v>
      </c>
      <c r="BA23" s="54">
        <v>0.48648648648648601</v>
      </c>
      <c r="BB23" s="41">
        <v>4.5379565217390998E-2</v>
      </c>
      <c r="BC23" s="41">
        <v>0.125</v>
      </c>
      <c r="BD23" s="41">
        <v>0.04</v>
      </c>
      <c r="BE23" s="41">
        <v>0</v>
      </c>
      <c r="BF23" s="41">
        <v>3.2936458333333002E-2</v>
      </c>
      <c r="BG23" s="41">
        <v>0.1</v>
      </c>
      <c r="BH23" s="41">
        <v>3.2000000000000001E-2</v>
      </c>
      <c r="BI23" s="41">
        <v>1.2999999999999999E-2</v>
      </c>
      <c r="BJ23" s="46">
        <f>IFERROR(VLOOKUP(AP23,'Scoring and Weighting'!$B$10:$C$12,2,FALSE),'Scoring and Weighting'!$C$13)</f>
        <v>100</v>
      </c>
      <c r="BK23" s="46">
        <f>VLOOKUP(AL23,'Scoring and Weighting'!$C$19:$F$23,4)</f>
        <v>50</v>
      </c>
      <c r="BL23" s="47">
        <f t="shared" si="1"/>
        <v>48.648648648648603</v>
      </c>
      <c r="BM23" s="46" t="e">
        <f>VLOOKUP('Table with Jurisdictions'!AJ23,'Scoring and Weighting'!$C$35:$F$39,4,1)</f>
        <v>#REF!</v>
      </c>
      <c r="BN23" s="46">
        <f t="shared" si="2"/>
        <v>80</v>
      </c>
      <c r="BO23" s="48">
        <f>IFERROR(VLOOKUP(AM23,'Scoring and Weighting'!$B$63:$C$65,2,FALSE),1)</f>
        <v>1</v>
      </c>
      <c r="BP23" s="49">
        <f>BJ23*'Scoring and Weighting'!$C$55*'Table with Jurisdictions'!BO23</f>
        <v>25</v>
      </c>
      <c r="BQ23" s="49">
        <f>BK23*BO23*'Scoring and Weighting'!$C$56</f>
        <v>12.5</v>
      </c>
      <c r="BR23" s="49">
        <f>BO23*BL23*'Scoring and Weighting'!$C$57</f>
        <v>12.162162162162151</v>
      </c>
      <c r="BS23" s="49" t="e">
        <f>BO23*BM23*'Scoring and Weighting'!$C$58</f>
        <v>#REF!</v>
      </c>
      <c r="BT23" s="49">
        <f>BO23*BN23*'Scoring and Weighting'!$C$59</f>
        <v>12</v>
      </c>
      <c r="BU23" s="50" t="e">
        <f t="shared" si="5"/>
        <v>#REF!</v>
      </c>
      <c r="BX23" s="30">
        <f t="shared" si="6"/>
        <v>5</v>
      </c>
    </row>
    <row r="24" spans="1:76" x14ac:dyDescent="0.25">
      <c r="A24" s="35" t="s">
        <v>117</v>
      </c>
      <c r="B24" s="35">
        <v>60</v>
      </c>
      <c r="C24" s="75">
        <v>42578.871018518519</v>
      </c>
      <c r="D24" s="35" t="s">
        <v>394</v>
      </c>
      <c r="E24" s="35"/>
      <c r="F24" s="35"/>
      <c r="G24" s="35">
        <v>693</v>
      </c>
      <c r="H24" s="35" t="s">
        <v>109</v>
      </c>
      <c r="I24" s="35">
        <v>1</v>
      </c>
      <c r="J24" s="35">
        <v>0</v>
      </c>
      <c r="K24" s="118" t="s">
        <v>64</v>
      </c>
      <c r="L24" s="35" t="s">
        <v>50</v>
      </c>
      <c r="M24" s="35" t="s">
        <v>415</v>
      </c>
      <c r="N24" s="30">
        <v>467.067665369812</v>
      </c>
      <c r="O24">
        <f t="shared" si="3"/>
        <v>8</v>
      </c>
      <c r="P24" s="73">
        <f t="shared" si="7"/>
        <v>1</v>
      </c>
      <c r="Q24" s="73" t="str">
        <f>IF(P24&gt;1,"Multiple",VLOOKUP(O24,[1]Sheet1!$C$6:$D$17,2,0))</f>
        <v>Mission Viejo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100</v>
      </c>
      <c r="Z24" s="35">
        <v>0</v>
      </c>
      <c r="AA24" s="35">
        <v>0</v>
      </c>
      <c r="AB24" s="35">
        <v>0</v>
      </c>
      <c r="AC24" s="35">
        <v>0</v>
      </c>
      <c r="AD24">
        <v>0</v>
      </c>
      <c r="AE24">
        <v>0</v>
      </c>
      <c r="AF24">
        <v>0</v>
      </c>
      <c r="AG24">
        <v>0</v>
      </c>
      <c r="AH24" s="41">
        <v>0.22439999999999999</v>
      </c>
      <c r="AI24" s="41">
        <v>0.5202</v>
      </c>
      <c r="AJ24" s="53" t="e">
        <f>N24*#REF!/100</f>
        <v>#REF!</v>
      </c>
      <c r="AK24" s="43">
        <v>0.37230000000000002</v>
      </c>
      <c r="AL24" s="43">
        <f t="shared" si="0"/>
        <v>0.251</v>
      </c>
      <c r="AM24" s="44" t="s">
        <v>52</v>
      </c>
      <c r="AN24" s="44"/>
      <c r="AO24" s="44" t="s">
        <v>53</v>
      </c>
      <c r="AP24" s="44" t="s">
        <v>54</v>
      </c>
      <c r="AQ24" s="45" t="s">
        <v>119</v>
      </c>
      <c r="AR24" s="45">
        <v>0.25687063033305801</v>
      </c>
      <c r="AS24" s="45">
        <v>0.251</v>
      </c>
      <c r="AT24" s="45">
        <v>2.2854424133449E-2</v>
      </c>
      <c r="AU24" s="45">
        <v>0.105</v>
      </c>
      <c r="AV24" s="45">
        <v>0.47099999999999997</v>
      </c>
      <c r="AW24" s="45">
        <v>0.374</v>
      </c>
      <c r="AX24" s="45">
        <v>0.16800000000000001</v>
      </c>
      <c r="AY24" s="45">
        <v>0.188</v>
      </c>
      <c r="AZ24" s="54">
        <v>1.49003984063745</v>
      </c>
      <c r="BA24" s="54">
        <v>0.66932270916334702</v>
      </c>
      <c r="BB24" s="41">
        <v>0.26672852983988399</v>
      </c>
      <c r="BC24" s="41">
        <v>0.47099999999999997</v>
      </c>
      <c r="BD24" s="41">
        <v>0.26400000000000001</v>
      </c>
      <c r="BE24" s="41">
        <v>0.155</v>
      </c>
      <c r="BF24" s="41">
        <v>0.22626101694915299</v>
      </c>
      <c r="BG24" s="41">
        <v>0.433</v>
      </c>
      <c r="BH24" s="41">
        <v>0.224</v>
      </c>
      <c r="BI24" s="41">
        <v>0.105</v>
      </c>
      <c r="BJ24" s="46">
        <f>IFERROR(VLOOKUP(AP24,'Scoring and Weighting'!$B$10:$C$12,2,FALSE),'Scoring and Weighting'!$C$13)</f>
        <v>100</v>
      </c>
      <c r="BK24" s="46">
        <f>VLOOKUP(AL24,'Scoring and Weighting'!$C$19:$F$23,4)</f>
        <v>100</v>
      </c>
      <c r="BL24" s="47">
        <f t="shared" si="1"/>
        <v>66.932270916334701</v>
      </c>
      <c r="BM24" s="46" t="e">
        <f>VLOOKUP('Table with Jurisdictions'!AJ24,'Scoring and Weighting'!$C$35:$F$39,4,1)</f>
        <v>#REF!</v>
      </c>
      <c r="BN24" s="46">
        <f t="shared" si="2"/>
        <v>80</v>
      </c>
      <c r="BO24" s="48">
        <f>IFERROR(VLOOKUP(AM24,'Scoring and Weighting'!$B$63:$C$65,2,FALSE),1)</f>
        <v>1</v>
      </c>
      <c r="BP24" s="49">
        <f>BJ24*'Scoring and Weighting'!$C$55*'Table with Jurisdictions'!BO24</f>
        <v>25</v>
      </c>
      <c r="BQ24" s="49">
        <f>BK24*BO24*'Scoring and Weighting'!$C$56</f>
        <v>25</v>
      </c>
      <c r="BR24" s="49">
        <f>BO24*BL24*'Scoring and Weighting'!$C$57</f>
        <v>16.733067729083675</v>
      </c>
      <c r="BS24" s="49" t="e">
        <f>BO24*BM24*'Scoring and Weighting'!$C$58</f>
        <v>#REF!</v>
      </c>
      <c r="BT24" s="49">
        <f>BO24*BN24*'Scoring and Weighting'!$C$59</f>
        <v>12</v>
      </c>
      <c r="BU24" s="50" t="e">
        <f t="shared" si="5"/>
        <v>#REF!</v>
      </c>
      <c r="BX24" s="30">
        <f t="shared" si="6"/>
        <v>8</v>
      </c>
    </row>
    <row r="25" spans="1:76" x14ac:dyDescent="0.25">
      <c r="A25" s="35" t="s">
        <v>127</v>
      </c>
      <c r="B25" s="35">
        <v>66</v>
      </c>
      <c r="C25" s="75">
        <v>42578.86445601852</v>
      </c>
      <c r="D25" s="35" t="s">
        <v>394</v>
      </c>
      <c r="E25" s="35"/>
      <c r="F25" s="35"/>
      <c r="G25" s="35">
        <v>662</v>
      </c>
      <c r="H25" s="35" t="s">
        <v>109</v>
      </c>
      <c r="I25" s="35">
        <v>1</v>
      </c>
      <c r="J25" s="35">
        <v>0</v>
      </c>
      <c r="K25" s="118" t="s">
        <v>64</v>
      </c>
      <c r="L25" s="35" t="s">
        <v>50</v>
      </c>
      <c r="M25" s="35" t="s">
        <v>416</v>
      </c>
      <c r="N25" s="30">
        <v>210.54842175444401</v>
      </c>
      <c r="O25">
        <f t="shared" si="3"/>
        <v>8</v>
      </c>
      <c r="P25" s="73">
        <f t="shared" si="7"/>
        <v>1</v>
      </c>
      <c r="Q25" s="73" t="str">
        <f>IF(P25&gt;1,"Multiple",VLOOKUP(O25,[1]Sheet1!$C$6:$D$17,2,0))</f>
        <v>Mission Viejo</v>
      </c>
      <c r="R25" s="35">
        <v>0</v>
      </c>
      <c r="S25" s="35">
        <v>0</v>
      </c>
      <c r="T25" s="35">
        <v>0</v>
      </c>
      <c r="U25" s="35">
        <v>0</v>
      </c>
      <c r="V25" s="35">
        <v>10</v>
      </c>
      <c r="W25" s="35">
        <v>0</v>
      </c>
      <c r="X25" s="35">
        <v>0</v>
      </c>
      <c r="Y25" s="35">
        <v>90</v>
      </c>
      <c r="Z25" s="35">
        <v>0</v>
      </c>
      <c r="AA25" s="35">
        <v>0</v>
      </c>
      <c r="AB25" s="35">
        <v>0</v>
      </c>
      <c r="AC25" s="35">
        <v>0</v>
      </c>
      <c r="AD25">
        <v>0</v>
      </c>
      <c r="AE25">
        <v>0</v>
      </c>
      <c r="AF25">
        <v>0</v>
      </c>
      <c r="AG25">
        <v>0</v>
      </c>
      <c r="AH25" s="41">
        <v>0.10199999999999999</v>
      </c>
      <c r="AI25" s="41">
        <v>0.1105</v>
      </c>
      <c r="AJ25" s="53" t="e">
        <f>N25*#REF!/100</f>
        <v>#REF!</v>
      </c>
      <c r="AK25" s="43">
        <v>0.104833333333333</v>
      </c>
      <c r="AL25" s="43">
        <f t="shared" si="0"/>
        <v>9.8000000000000004E-2</v>
      </c>
      <c r="AM25" s="44" t="s">
        <v>52</v>
      </c>
      <c r="AN25" s="44" t="s">
        <v>53</v>
      </c>
      <c r="AO25" s="44" t="s">
        <v>53</v>
      </c>
      <c r="AP25" s="44" t="s">
        <v>69</v>
      </c>
      <c r="AQ25" s="45" t="s">
        <v>122</v>
      </c>
      <c r="AR25" s="45">
        <v>0.106956477475185</v>
      </c>
      <c r="AS25" s="45">
        <v>9.8000000000000004E-2</v>
      </c>
      <c r="AT25" s="45">
        <v>8.3739458204039996E-2</v>
      </c>
      <c r="AU25" s="45">
        <v>3.1E-2</v>
      </c>
      <c r="AV25" s="45">
        <v>0.58799999999999997</v>
      </c>
      <c r="AW25" s="45">
        <v>0.185</v>
      </c>
      <c r="AX25" s="45">
        <v>5.6000000000000001E-2</v>
      </c>
      <c r="AY25" s="45">
        <v>8.8999999999999996E-2</v>
      </c>
      <c r="AZ25" s="54">
        <v>1.8877551020408201</v>
      </c>
      <c r="BA25" s="54">
        <v>0.57142857142857095</v>
      </c>
      <c r="BB25" s="41">
        <v>0.106457688152683</v>
      </c>
      <c r="BC25" s="41">
        <v>0.58799999999999997</v>
      </c>
      <c r="BD25" s="41">
        <v>9.9000000000000005E-2</v>
      </c>
      <c r="BE25" s="41">
        <v>4.4999999999999998E-2</v>
      </c>
      <c r="BF25" s="41">
        <v>0.108158854166667</v>
      </c>
      <c r="BG25" s="41">
        <v>0.30399999999999999</v>
      </c>
      <c r="BH25" s="41">
        <v>9.7000000000000003E-2</v>
      </c>
      <c r="BI25" s="41">
        <v>3.1E-2</v>
      </c>
      <c r="BJ25" s="46">
        <f>IFERROR(VLOOKUP(AP25,'Scoring and Weighting'!$B$10:$C$12,2,FALSE),'Scoring and Weighting'!$C$13)</f>
        <v>80</v>
      </c>
      <c r="BK25" s="46">
        <f>VLOOKUP(AL25,'Scoring and Weighting'!$C$19:$F$23,4)</f>
        <v>70</v>
      </c>
      <c r="BL25" s="47">
        <f t="shared" si="1"/>
        <v>57.142857142857096</v>
      </c>
      <c r="BM25" s="46" t="e">
        <f>VLOOKUP('Table with Jurisdictions'!AJ25,'Scoring and Weighting'!$C$35:$F$39,4,1)</f>
        <v>#REF!</v>
      </c>
      <c r="BN25" s="46">
        <f t="shared" si="2"/>
        <v>80</v>
      </c>
      <c r="BO25" s="48">
        <f>IFERROR(VLOOKUP(AM25,'Scoring and Weighting'!$B$63:$C$65,2,FALSE),1)</f>
        <v>1</v>
      </c>
      <c r="BP25" s="49">
        <f>BJ25*'Scoring and Weighting'!$C$55*'Table with Jurisdictions'!BO25</f>
        <v>20</v>
      </c>
      <c r="BQ25" s="49">
        <f>BK25*BO25*'Scoring and Weighting'!$C$56</f>
        <v>17.5</v>
      </c>
      <c r="BR25" s="49">
        <f>BO25*BL25*'Scoring and Weighting'!$C$57</f>
        <v>14.285714285714274</v>
      </c>
      <c r="BS25" s="49" t="e">
        <f>BO25*BM25*'Scoring and Weighting'!$C$58</f>
        <v>#REF!</v>
      </c>
      <c r="BT25" s="49">
        <f>BO25*BN25*'Scoring and Weighting'!$C$59</f>
        <v>12</v>
      </c>
      <c r="BU25" s="50" t="e">
        <f t="shared" si="5"/>
        <v>#REF!</v>
      </c>
      <c r="BX25" s="30">
        <f t="shared" si="6"/>
        <v>8</v>
      </c>
    </row>
    <row r="26" spans="1:76" x14ac:dyDescent="0.25">
      <c r="A26" s="35" t="s">
        <v>242</v>
      </c>
      <c r="B26" s="35">
        <v>48</v>
      </c>
      <c r="C26" s="75">
        <v>42578.864710648151</v>
      </c>
      <c r="D26" s="35" t="s">
        <v>394</v>
      </c>
      <c r="E26" s="35"/>
      <c r="F26" s="35"/>
      <c r="G26" s="35">
        <v>214</v>
      </c>
      <c r="H26" s="35" t="s">
        <v>109</v>
      </c>
      <c r="I26" s="35">
        <v>1</v>
      </c>
      <c r="J26" s="35">
        <v>0</v>
      </c>
      <c r="K26" s="118" t="s">
        <v>180</v>
      </c>
      <c r="L26" s="35" t="s">
        <v>50</v>
      </c>
      <c r="M26" s="35" t="s">
        <v>417</v>
      </c>
      <c r="N26" s="30">
        <v>3757.0685300110699</v>
      </c>
      <c r="O26">
        <f t="shared" si="3"/>
        <v>11</v>
      </c>
      <c r="P26" s="73">
        <f t="shared" si="7"/>
        <v>3</v>
      </c>
      <c r="Q26" s="73" t="str">
        <f>IF(P26&gt;1,"Multiple",VLOOKUP(O26,[1]Sheet1!$C$6:$D$17,2,0))</f>
        <v>Multiple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17</v>
      </c>
      <c r="AA26" s="35">
        <v>0</v>
      </c>
      <c r="AB26" s="35">
        <v>62</v>
      </c>
      <c r="AC26" s="35">
        <v>21</v>
      </c>
      <c r="AD26">
        <v>0</v>
      </c>
      <c r="AE26">
        <v>0</v>
      </c>
      <c r="AF26">
        <v>0</v>
      </c>
      <c r="AG26">
        <v>0</v>
      </c>
      <c r="AH26" s="41">
        <v>4.3714285714289997E-3</v>
      </c>
      <c r="AI26" s="41">
        <v>8.3010638297870004E-3</v>
      </c>
      <c r="AJ26" s="53" t="e">
        <f>N26*#REF!/100</f>
        <v>#REF!</v>
      </c>
      <c r="AK26" s="43">
        <v>6.3362462006080001E-3</v>
      </c>
      <c r="AL26" s="43">
        <f t="shared" si="0"/>
        <v>1.6E-2</v>
      </c>
      <c r="AM26" s="44" t="s">
        <v>52</v>
      </c>
      <c r="AN26" s="44"/>
      <c r="AO26" s="44" t="s">
        <v>53</v>
      </c>
      <c r="AP26" s="44" t="s">
        <v>54</v>
      </c>
      <c r="AQ26" s="45" t="s">
        <v>124</v>
      </c>
      <c r="AR26" s="45">
        <v>2.0824537354352E-2</v>
      </c>
      <c r="AS26" s="45">
        <v>1.6E-2</v>
      </c>
      <c r="AT26" s="45">
        <v>0.23167560807030199</v>
      </c>
      <c r="AU26" s="45">
        <v>0</v>
      </c>
      <c r="AV26" s="45">
        <v>0.254</v>
      </c>
      <c r="AW26" s="45">
        <v>7.5999999999999998E-2</v>
      </c>
      <c r="AX26" s="45">
        <v>5.0000000000000001E-3</v>
      </c>
      <c r="AY26" s="45">
        <v>1.0999999999999999E-2</v>
      </c>
      <c r="AZ26" s="54">
        <v>4.75</v>
      </c>
      <c r="BA26" s="54">
        <v>0.3125</v>
      </c>
      <c r="BB26" s="41">
        <v>2.0912665985700001E-2</v>
      </c>
      <c r="BC26" s="41">
        <v>0.254</v>
      </c>
      <c r="BD26" s="41">
        <v>1.6E-2</v>
      </c>
      <c r="BE26" s="41">
        <v>0</v>
      </c>
      <c r="BF26" s="41">
        <v>2.0644791666666999E-2</v>
      </c>
      <c r="BG26" s="41">
        <v>0.158</v>
      </c>
      <c r="BH26" s="41">
        <v>1.7999999999999999E-2</v>
      </c>
      <c r="BI26" s="41">
        <v>0</v>
      </c>
      <c r="BJ26" s="46">
        <f>IFERROR(VLOOKUP(AP26,'Scoring and Weighting'!$B$10:$C$12,2,FALSE),'Scoring and Weighting'!$C$13)</f>
        <v>100</v>
      </c>
      <c r="BK26" s="46">
        <f>VLOOKUP(AL26,'Scoring and Weighting'!$C$19:$F$23,4)</f>
        <v>50</v>
      </c>
      <c r="BL26" s="47">
        <f t="shared" si="1"/>
        <v>31.25</v>
      </c>
      <c r="BM26" s="46" t="e">
        <f>VLOOKUP('Table with Jurisdictions'!AJ26,'Scoring and Weighting'!$C$35:$F$39,4,1)</f>
        <v>#REF!</v>
      </c>
      <c r="BN26" s="46">
        <f t="shared" si="2"/>
        <v>80</v>
      </c>
      <c r="BO26" s="48">
        <f>IFERROR(VLOOKUP(AM26,'Scoring and Weighting'!$B$63:$C$65,2,FALSE),1)</f>
        <v>1</v>
      </c>
      <c r="BP26" s="49">
        <f>BJ26*'Scoring and Weighting'!$C$55*'Table with Jurisdictions'!BO26</f>
        <v>25</v>
      </c>
      <c r="BQ26" s="49">
        <f>BK26*BO26*'Scoring and Weighting'!$C$56</f>
        <v>12.5</v>
      </c>
      <c r="BR26" s="49">
        <f>BO26*BL26*'Scoring and Weighting'!$C$57</f>
        <v>7.8125</v>
      </c>
      <c r="BS26" s="49" t="e">
        <f>BO26*BM26*'Scoring and Weighting'!$C$58</f>
        <v>#REF!</v>
      </c>
      <c r="BT26" s="49">
        <f>BO26*BN26*'Scoring and Weighting'!$C$59</f>
        <v>12</v>
      </c>
      <c r="BU26" s="50" t="e">
        <f t="shared" si="5"/>
        <v>#REF!</v>
      </c>
      <c r="BX26" s="30">
        <f t="shared" si="6"/>
        <v>11</v>
      </c>
    </row>
    <row r="27" spans="1:76" x14ac:dyDescent="0.25">
      <c r="A27" s="35" t="s">
        <v>60</v>
      </c>
      <c r="B27" s="35">
        <v>90</v>
      </c>
      <c r="C27" s="75">
        <v>42578.901469907411</v>
      </c>
      <c r="D27" s="35" t="s">
        <v>394</v>
      </c>
      <c r="E27" s="35"/>
      <c r="F27" s="35"/>
      <c r="G27" s="35">
        <v>73</v>
      </c>
      <c r="H27" s="35" t="s">
        <v>109</v>
      </c>
      <c r="I27" s="35">
        <v>1</v>
      </c>
      <c r="J27" s="35">
        <v>0</v>
      </c>
      <c r="K27" s="35" t="s">
        <v>64</v>
      </c>
      <c r="L27" s="35" t="s">
        <v>50</v>
      </c>
      <c r="M27" s="35" t="s">
        <v>418</v>
      </c>
      <c r="N27" s="30">
        <v>368.62703192340501</v>
      </c>
      <c r="O27">
        <f t="shared" si="3"/>
        <v>9</v>
      </c>
      <c r="P27" s="73">
        <f t="shared" si="7"/>
        <v>2</v>
      </c>
      <c r="Q27" s="73" t="str">
        <f>IF(P27&gt;1,"Multiple",VLOOKUP(O27,[1]Sheet1!$C$6:$D$17,2,0))</f>
        <v>Multiple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33</v>
      </c>
      <c r="Z27" s="35">
        <v>0</v>
      </c>
      <c r="AA27" s="35">
        <v>67</v>
      </c>
      <c r="AB27" s="35">
        <v>0</v>
      </c>
      <c r="AC27" s="35">
        <v>0</v>
      </c>
      <c r="AD27">
        <v>0</v>
      </c>
      <c r="AE27">
        <v>0</v>
      </c>
      <c r="AF27">
        <v>0</v>
      </c>
      <c r="AG27">
        <v>0</v>
      </c>
      <c r="AH27" s="41">
        <v>3.5700000000000003E-2</v>
      </c>
      <c r="AI27" s="41">
        <v>3.5700000000000003E-2</v>
      </c>
      <c r="AJ27" s="53" t="e">
        <f>N27*#REF!/100</f>
        <v>#REF!</v>
      </c>
      <c r="AK27" s="43">
        <v>3.5700000000000003E-2</v>
      </c>
      <c r="AL27" s="43">
        <f t="shared" si="0"/>
        <v>7.0000000000000001E-3</v>
      </c>
      <c r="AM27" s="44"/>
      <c r="AN27" s="44"/>
      <c r="AO27" s="44"/>
      <c r="AP27" s="44"/>
      <c r="AQ27" s="45" t="s">
        <v>79</v>
      </c>
      <c r="AR27" s="45">
        <v>8.4742391564820007E-3</v>
      </c>
      <c r="AS27" s="45">
        <v>7.0000000000000001E-3</v>
      </c>
      <c r="AT27" s="45">
        <v>0.173967140796878</v>
      </c>
      <c r="AU27" s="45">
        <v>0</v>
      </c>
      <c r="AV27" s="45">
        <v>5.5E-2</v>
      </c>
      <c r="AW27" s="45">
        <v>2.6499999999999999E-2</v>
      </c>
      <c r="AX27" s="45">
        <v>1.5E-3</v>
      </c>
      <c r="AY27" s="45">
        <v>5.0000000000000001E-3</v>
      </c>
      <c r="AZ27" s="54">
        <v>3.78571428571429</v>
      </c>
      <c r="BA27" s="54">
        <v>0.214285714285714</v>
      </c>
      <c r="BB27" s="41">
        <v>8.6372062231049995E-3</v>
      </c>
      <c r="BC27" s="41">
        <v>5.5E-2</v>
      </c>
      <c r="BD27" s="41">
        <v>7.0000000000000001E-3</v>
      </c>
      <c r="BE27" s="41">
        <v>0</v>
      </c>
      <c r="BF27" s="41">
        <v>8.0468750000000002E-3</v>
      </c>
      <c r="BG27" s="41">
        <v>4.1000000000000002E-2</v>
      </c>
      <c r="BH27" s="41">
        <v>7.0000000000000001E-3</v>
      </c>
      <c r="BI27" s="41">
        <v>0</v>
      </c>
      <c r="BJ27" s="46">
        <f>IFERROR(VLOOKUP(AP27,'Scoring and Weighting'!$B$10:$C$12,2,FALSE),'Scoring and Weighting'!$C$13)</f>
        <v>70</v>
      </c>
      <c r="BK27" s="46">
        <f>VLOOKUP(AL27,'Scoring and Weighting'!$C$19:$F$23,4)</f>
        <v>30</v>
      </c>
      <c r="BL27" s="47">
        <f t="shared" si="1"/>
        <v>21.428571428571399</v>
      </c>
      <c r="BM27" s="46" t="e">
        <f>VLOOKUP('Table with Jurisdictions'!AJ27,'Scoring and Weighting'!$C$35:$F$39,4,1)</f>
        <v>#REF!</v>
      </c>
      <c r="BN27" s="46">
        <f t="shared" si="2"/>
        <v>20</v>
      </c>
      <c r="BO27" s="48">
        <f>IFERROR(VLOOKUP(AM27,'Scoring and Weighting'!$B$63:$C$65,2,FALSE),1)</f>
        <v>1</v>
      </c>
      <c r="BP27" s="49">
        <f>BJ27*'Scoring and Weighting'!$C$55*'Table with Jurisdictions'!BO27</f>
        <v>17.5</v>
      </c>
      <c r="BQ27" s="49">
        <f>BK27*BO27*'Scoring and Weighting'!$C$56</f>
        <v>7.5</v>
      </c>
      <c r="BR27" s="49">
        <f>BO27*BL27*'Scoring and Weighting'!$C$57</f>
        <v>5.3571428571428497</v>
      </c>
      <c r="BS27" s="49" t="e">
        <f>BO27*BM27*'Scoring and Weighting'!$C$58</f>
        <v>#REF!</v>
      </c>
      <c r="BT27" s="49">
        <f>BO27*BN27*'Scoring and Weighting'!$C$59</f>
        <v>3</v>
      </c>
      <c r="BU27" s="50" t="e">
        <f t="shared" si="5"/>
        <v>#REF!</v>
      </c>
      <c r="BX27" s="30">
        <f t="shared" si="6"/>
        <v>9</v>
      </c>
    </row>
    <row r="28" spans="1:76" x14ac:dyDescent="0.25">
      <c r="A28" s="35" t="s">
        <v>212</v>
      </c>
      <c r="B28" s="35">
        <v>48</v>
      </c>
      <c r="C28" s="75">
        <v>42578.866180555553</v>
      </c>
      <c r="D28" s="35" t="s">
        <v>394</v>
      </c>
      <c r="E28" s="35"/>
      <c r="F28" s="35"/>
      <c r="G28" s="35">
        <v>141</v>
      </c>
      <c r="H28" s="35" t="s">
        <v>109</v>
      </c>
      <c r="I28" s="35">
        <v>1</v>
      </c>
      <c r="J28" s="35">
        <v>0</v>
      </c>
      <c r="K28" s="35" t="s">
        <v>180</v>
      </c>
      <c r="L28" s="35" t="s">
        <v>50</v>
      </c>
      <c r="M28" s="35" t="s">
        <v>419</v>
      </c>
      <c r="N28" s="30">
        <v>372.59706312501299</v>
      </c>
      <c r="O28">
        <f t="shared" si="3"/>
        <v>11</v>
      </c>
      <c r="P28" s="73">
        <f t="shared" si="7"/>
        <v>1</v>
      </c>
      <c r="Q28" s="73" t="str">
        <f>IF(P28&gt;1,"Multiple",VLOOKUP(O28,[1]Sheet1!$C$6:$D$17,2,0))</f>
        <v>San Clemente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100</v>
      </c>
      <c r="AC28" s="35">
        <v>0</v>
      </c>
      <c r="AD28">
        <v>0</v>
      </c>
      <c r="AE28">
        <v>0</v>
      </c>
      <c r="AF28">
        <v>0</v>
      </c>
      <c r="AG28">
        <v>0</v>
      </c>
      <c r="AH28" s="41">
        <v>0.353140540540541</v>
      </c>
      <c r="AI28" s="41">
        <v>0.62219999999999998</v>
      </c>
      <c r="AJ28" s="53" t="e">
        <f>N28*#REF!/100</f>
        <v>#REF!</v>
      </c>
      <c r="AK28" s="43">
        <v>0.54156419357669405</v>
      </c>
      <c r="AL28" s="43">
        <f t="shared" si="0"/>
        <v>0.24199999999999999</v>
      </c>
      <c r="AM28" s="44" t="s">
        <v>52</v>
      </c>
      <c r="AN28" s="44" t="s">
        <v>53</v>
      </c>
      <c r="AO28" s="44" t="s">
        <v>53</v>
      </c>
      <c r="AP28" s="44" t="s">
        <v>54</v>
      </c>
      <c r="AQ28" s="45" t="s">
        <v>76</v>
      </c>
      <c r="AR28" s="45">
        <v>0.24528101424979001</v>
      </c>
      <c r="AS28" s="45">
        <v>0.24199999999999999</v>
      </c>
      <c r="AT28" s="45">
        <v>1.3376552032882001E-2</v>
      </c>
      <c r="AU28" s="45">
        <v>0.188</v>
      </c>
      <c r="AV28" s="45">
        <v>0.34200000000000003</v>
      </c>
      <c r="AW28" s="45">
        <v>0.27750000000000002</v>
      </c>
      <c r="AX28" s="45">
        <v>0.20849999999999999</v>
      </c>
      <c r="AY28" s="45">
        <v>0.24099999999999999</v>
      </c>
      <c r="AZ28" s="54">
        <v>1.14669421487603</v>
      </c>
      <c r="BA28" s="54">
        <v>0.86157024793388404</v>
      </c>
      <c r="BB28" s="41">
        <v>0.25018101182654401</v>
      </c>
      <c r="BC28" s="41">
        <v>0.34200000000000003</v>
      </c>
      <c r="BD28" s="41">
        <v>0.247</v>
      </c>
      <c r="BE28" s="41">
        <v>0.193</v>
      </c>
      <c r="BF28" s="41">
        <v>0.23664930555555599</v>
      </c>
      <c r="BG28" s="41">
        <v>0.29899999999999999</v>
      </c>
      <c r="BH28" s="41">
        <v>0.23499999999999999</v>
      </c>
      <c r="BI28" s="41">
        <v>0.188</v>
      </c>
      <c r="BJ28" s="46">
        <f>IFERROR(VLOOKUP(AP28,'Scoring and Weighting'!$B$10:$C$12,2,FALSE),'Scoring and Weighting'!$C$13)</f>
        <v>100</v>
      </c>
      <c r="BK28" s="46">
        <f>VLOOKUP(AL28,'Scoring and Weighting'!$C$19:$F$23,4)</f>
        <v>100</v>
      </c>
      <c r="BL28" s="47">
        <f t="shared" si="1"/>
        <v>86.157024793388402</v>
      </c>
      <c r="BM28" s="46" t="e">
        <f>VLOOKUP('Table with Jurisdictions'!AJ28,'Scoring and Weighting'!$C$35:$F$39,4,1)</f>
        <v>#REF!</v>
      </c>
      <c r="BN28" s="46">
        <f t="shared" si="2"/>
        <v>80</v>
      </c>
      <c r="BO28" s="48">
        <f>IFERROR(VLOOKUP(AM28,'Scoring and Weighting'!$B$63:$C$65,2,FALSE),1)</f>
        <v>1</v>
      </c>
      <c r="BP28" s="49">
        <f>BJ28*'Scoring and Weighting'!$C$55*'Table with Jurisdictions'!BO28</f>
        <v>25</v>
      </c>
      <c r="BQ28" s="49">
        <f>BK28*BO28*'Scoring and Weighting'!$C$56</f>
        <v>25</v>
      </c>
      <c r="BR28" s="49">
        <f>BO28*BL28*'Scoring and Weighting'!$C$57</f>
        <v>21.5392561983471</v>
      </c>
      <c r="BS28" s="49" t="e">
        <f>BO28*BM28*'Scoring and Weighting'!$C$58</f>
        <v>#REF!</v>
      </c>
      <c r="BT28" s="49">
        <f>BO28*BN28*'Scoring and Weighting'!$C$59</f>
        <v>12</v>
      </c>
      <c r="BU28" s="50" t="e">
        <f t="shared" si="5"/>
        <v>#REF!</v>
      </c>
      <c r="BX28" s="30">
        <f t="shared" si="6"/>
        <v>11</v>
      </c>
    </row>
    <row r="29" spans="1:76" x14ac:dyDescent="0.25">
      <c r="A29" s="35" t="s">
        <v>166</v>
      </c>
      <c r="B29" s="35">
        <v>54</v>
      </c>
      <c r="C29" s="75">
        <v>42570.947731481479</v>
      </c>
      <c r="D29" s="35" t="s">
        <v>394</v>
      </c>
      <c r="E29" s="35"/>
      <c r="F29" s="35"/>
      <c r="G29" s="35">
        <v>708</v>
      </c>
      <c r="H29" s="35" t="s">
        <v>109</v>
      </c>
      <c r="I29" s="35">
        <v>1</v>
      </c>
      <c r="J29" s="35">
        <v>0</v>
      </c>
      <c r="K29" s="35" t="s">
        <v>51</v>
      </c>
      <c r="L29" s="35" t="s">
        <v>50</v>
      </c>
      <c r="M29" s="35" t="s">
        <v>420</v>
      </c>
      <c r="N29" s="30">
        <v>127.790441515043</v>
      </c>
      <c r="O29">
        <f t="shared" si="3"/>
        <v>5</v>
      </c>
      <c r="P29" s="73">
        <f t="shared" si="7"/>
        <v>1</v>
      </c>
      <c r="Q29" s="73" t="str">
        <f>IF(P29&gt;1,"Multiple",VLOOKUP(O29,[1]Sheet1!$C$6:$D$17,2,0))</f>
        <v>Laguna Niguel</v>
      </c>
      <c r="R29" s="35">
        <v>0</v>
      </c>
      <c r="S29" s="35">
        <v>0</v>
      </c>
      <c r="T29" s="35">
        <v>0</v>
      </c>
      <c r="U29" s="35">
        <v>0</v>
      </c>
      <c r="V29" s="35">
        <v>100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>
        <v>0</v>
      </c>
      <c r="AE29">
        <v>0</v>
      </c>
      <c r="AF29">
        <v>0</v>
      </c>
      <c r="AG29">
        <v>0</v>
      </c>
      <c r="AH29" s="41">
        <v>4.335E-2</v>
      </c>
      <c r="AI29" s="41">
        <v>7.3440000000000005E-2</v>
      </c>
      <c r="AJ29" s="53" t="e">
        <f>N29*#REF!/100</f>
        <v>#REF!</v>
      </c>
      <c r="AK29" s="43">
        <v>6.1242499999999998E-2</v>
      </c>
      <c r="AL29" s="43">
        <f t="shared" si="0"/>
        <v>3.7999999999999999E-2</v>
      </c>
      <c r="AM29" s="44" t="s">
        <v>52</v>
      </c>
      <c r="AN29" s="44" t="s">
        <v>53</v>
      </c>
      <c r="AO29" s="44" t="s">
        <v>53</v>
      </c>
      <c r="AP29" s="44" t="s">
        <v>69</v>
      </c>
      <c r="AQ29" s="45" t="s">
        <v>73</v>
      </c>
      <c r="AR29" s="45">
        <v>5.2329255861365997E-2</v>
      </c>
      <c r="AS29" s="45">
        <v>3.7999999999999999E-2</v>
      </c>
      <c r="AT29" s="45">
        <v>0.27382877179312398</v>
      </c>
      <c r="AU29" s="45">
        <v>0</v>
      </c>
      <c r="AV29" s="45">
        <v>1.01</v>
      </c>
      <c r="AW29" s="45">
        <v>0.17699999999999999</v>
      </c>
      <c r="AX29" s="45">
        <v>8.0000000000000002E-3</v>
      </c>
      <c r="AY29" s="45">
        <v>3.6999999999999998E-2</v>
      </c>
      <c r="AZ29" s="54">
        <v>4.6578947368421098</v>
      </c>
      <c r="BA29" s="54">
        <v>0.21052631578947401</v>
      </c>
      <c r="BB29" s="41">
        <v>5.3459069599712E-2</v>
      </c>
      <c r="BC29" s="41">
        <v>0.81699999999999995</v>
      </c>
      <c r="BD29" s="41">
        <v>0.04</v>
      </c>
      <c r="BE29" s="41">
        <v>0</v>
      </c>
      <c r="BF29" s="41">
        <v>4.9607298001738E-2</v>
      </c>
      <c r="BG29" s="41">
        <v>1.01</v>
      </c>
      <c r="BH29" s="41">
        <v>3.3000000000000002E-2</v>
      </c>
      <c r="BI29" s="41">
        <v>0</v>
      </c>
      <c r="BJ29" s="46">
        <f>IFERROR(VLOOKUP(AP29,'Scoring and Weighting'!$B$10:$C$12,2,FALSE),'Scoring and Weighting'!$C$13)</f>
        <v>80</v>
      </c>
      <c r="BK29" s="46">
        <f>VLOOKUP(AL29,'Scoring and Weighting'!$C$19:$F$23,4)</f>
        <v>50</v>
      </c>
      <c r="BL29" s="47">
        <f t="shared" si="1"/>
        <v>21.052631578947402</v>
      </c>
      <c r="BM29" s="46" t="e">
        <f>VLOOKUP('Table with Jurisdictions'!AJ29,'Scoring and Weighting'!$C$35:$F$39,4,1)</f>
        <v>#REF!</v>
      </c>
      <c r="BN29" s="46">
        <f t="shared" si="2"/>
        <v>80</v>
      </c>
      <c r="BO29" s="48">
        <f>IFERROR(VLOOKUP(AM29,'Scoring and Weighting'!$B$63:$C$65,2,FALSE),1)</f>
        <v>1</v>
      </c>
      <c r="BP29" s="49">
        <f>BJ29*'Scoring and Weighting'!$C$55*'Table with Jurisdictions'!BO29</f>
        <v>20</v>
      </c>
      <c r="BQ29" s="49">
        <f>BK29*BO29*'Scoring and Weighting'!$C$56</f>
        <v>12.5</v>
      </c>
      <c r="BR29" s="49">
        <f>BO29*BL29*'Scoring and Weighting'!$C$57</f>
        <v>5.2631578947368505</v>
      </c>
      <c r="BS29" s="49" t="e">
        <f>BO29*BM29*'Scoring and Weighting'!$C$58</f>
        <v>#REF!</v>
      </c>
      <c r="BT29" s="49">
        <f>BO29*BN29*'Scoring and Weighting'!$C$59</f>
        <v>12</v>
      </c>
      <c r="BU29" s="50" t="e">
        <f t="shared" si="5"/>
        <v>#REF!</v>
      </c>
      <c r="BX29" s="30">
        <f t="shared" si="6"/>
        <v>5</v>
      </c>
    </row>
    <row r="30" spans="1:76" x14ac:dyDescent="0.25">
      <c r="A30" s="35" t="s">
        <v>78</v>
      </c>
      <c r="B30" s="35">
        <v>72</v>
      </c>
      <c r="C30" s="75">
        <v>42578.866828703707</v>
      </c>
      <c r="D30" s="35" t="s">
        <v>394</v>
      </c>
      <c r="E30" s="35"/>
      <c r="F30" s="35"/>
      <c r="G30" s="35">
        <v>9082</v>
      </c>
      <c r="H30" s="35" t="s">
        <v>49</v>
      </c>
      <c r="I30" s="35">
        <v>1</v>
      </c>
      <c r="J30" s="35">
        <v>0</v>
      </c>
      <c r="K30" s="35" t="s">
        <v>51</v>
      </c>
      <c r="L30" s="35" t="s">
        <v>50</v>
      </c>
      <c r="M30" s="35" t="s">
        <v>421</v>
      </c>
      <c r="N30" s="30">
        <v>124.660760655133</v>
      </c>
      <c r="O30">
        <f t="shared" si="3"/>
        <v>1</v>
      </c>
      <c r="P30" s="73">
        <f t="shared" si="7"/>
        <v>1</v>
      </c>
      <c r="Q30" s="73" t="str">
        <f>IF(P30&gt;1,"Multiple",VLOOKUP(O30,[1]Sheet1!$C$6:$D$17,2,0))</f>
        <v>Aliso Viejo</v>
      </c>
      <c r="R30" s="35">
        <v>98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2</v>
      </c>
      <c r="AA30" s="35">
        <v>0</v>
      </c>
      <c r="AB30" s="35">
        <v>0</v>
      </c>
      <c r="AC30" s="35">
        <v>0</v>
      </c>
      <c r="AD30">
        <v>0</v>
      </c>
      <c r="AE30">
        <v>0</v>
      </c>
      <c r="AF30">
        <v>0</v>
      </c>
      <c r="AG30">
        <v>0</v>
      </c>
      <c r="AH30" s="41">
        <v>1.1900000000000001E-2</v>
      </c>
      <c r="AI30" s="41">
        <v>6.4016736401673597</v>
      </c>
      <c r="AJ30" s="53" t="e">
        <f>N30*#REF!/100</f>
        <v>#REF!</v>
      </c>
      <c r="AK30" s="43">
        <v>1.3060472280334701</v>
      </c>
      <c r="AL30" s="43">
        <f t="shared" si="0"/>
        <v>1.4E-2</v>
      </c>
      <c r="AM30" s="44" t="s">
        <v>52</v>
      </c>
      <c r="AN30" s="44" t="s">
        <v>131</v>
      </c>
      <c r="AO30" s="44" t="s">
        <v>53</v>
      </c>
      <c r="AP30" s="44" t="s">
        <v>54</v>
      </c>
      <c r="AQ30" s="45" t="s">
        <v>132</v>
      </c>
      <c r="AR30" s="45">
        <v>1.8302003951454E-2</v>
      </c>
      <c r="AS30" s="45">
        <v>1.4E-2</v>
      </c>
      <c r="AT30" s="45">
        <v>0.23505644315588201</v>
      </c>
      <c r="AU30" s="45">
        <v>0</v>
      </c>
      <c r="AV30" s="45">
        <v>0.621</v>
      </c>
      <c r="AW30" s="45">
        <v>6.5500000000000003E-2</v>
      </c>
      <c r="AX30" s="45">
        <v>1E-3</v>
      </c>
      <c r="AY30" s="45">
        <v>1.2999999999999999E-2</v>
      </c>
      <c r="AZ30" s="54">
        <v>4.6785714285714297</v>
      </c>
      <c r="BA30" s="54">
        <v>7.1428571428570994E-2</v>
      </c>
      <c r="BB30" s="41">
        <v>1.7502991772625001E-2</v>
      </c>
      <c r="BC30" s="41">
        <v>0.122</v>
      </c>
      <c r="BD30" s="41">
        <v>1.4999999999999999E-2</v>
      </c>
      <c r="BE30" s="41">
        <v>0</v>
      </c>
      <c r="BF30" s="41">
        <v>2.0760644418872001E-2</v>
      </c>
      <c r="BG30" s="41">
        <v>0.621</v>
      </c>
      <c r="BH30" s="41">
        <v>1.2999999999999999E-2</v>
      </c>
      <c r="BI30" s="41">
        <v>0</v>
      </c>
      <c r="BJ30" s="46">
        <f>IFERROR(VLOOKUP(AP30,'Scoring and Weighting'!$B$10:$C$12,2,FALSE),'Scoring and Weighting'!$C$13)</f>
        <v>100</v>
      </c>
      <c r="BK30" s="46">
        <f>VLOOKUP(AL30,'Scoring and Weighting'!$C$19:$F$23,4)</f>
        <v>30</v>
      </c>
      <c r="BL30" s="47">
        <f t="shared" si="1"/>
        <v>7.1428571428570997</v>
      </c>
      <c r="BM30" s="46" t="e">
        <f>VLOOKUP('Table with Jurisdictions'!AJ30,'Scoring and Weighting'!$C$35:$F$39,4,1)</f>
        <v>#REF!</v>
      </c>
      <c r="BN30" s="46">
        <f t="shared" si="2"/>
        <v>80</v>
      </c>
      <c r="BO30" s="48">
        <f>IFERROR(VLOOKUP(AM30,'Scoring and Weighting'!$B$63:$C$65,2,FALSE),1)</f>
        <v>1</v>
      </c>
      <c r="BP30" s="49">
        <f>BJ30*'Scoring and Weighting'!$C$55*'Table with Jurisdictions'!BO30</f>
        <v>25</v>
      </c>
      <c r="BQ30" s="49">
        <f>BK30*BO30*'Scoring and Weighting'!$C$56</f>
        <v>7.5</v>
      </c>
      <c r="BR30" s="49">
        <f>BO30*BL30*'Scoring and Weighting'!$C$57</f>
        <v>1.7857142857142749</v>
      </c>
      <c r="BS30" s="49" t="e">
        <f>BO30*BM30*'Scoring and Weighting'!$C$58</f>
        <v>#REF!</v>
      </c>
      <c r="BT30" s="49">
        <f>BO30*BN30*'Scoring and Weighting'!$C$59</f>
        <v>12</v>
      </c>
      <c r="BU30" s="50" t="e">
        <f t="shared" si="5"/>
        <v>#REF!</v>
      </c>
      <c r="BX30" s="30">
        <f t="shared" si="6"/>
        <v>1</v>
      </c>
    </row>
    <row r="31" spans="1:76" x14ac:dyDescent="0.25">
      <c r="A31" s="35" t="s">
        <v>66</v>
      </c>
      <c r="B31" s="35">
        <v>102</v>
      </c>
      <c r="C31" s="75">
        <v>42578.86986111111</v>
      </c>
      <c r="D31" s="35" t="s">
        <v>394</v>
      </c>
      <c r="E31" s="35"/>
      <c r="F31" s="35"/>
      <c r="G31" s="35">
        <v>9362</v>
      </c>
      <c r="H31" s="35" t="s">
        <v>75</v>
      </c>
      <c r="I31" s="35">
        <v>1</v>
      </c>
      <c r="J31" s="35">
        <v>0</v>
      </c>
      <c r="K31" s="35" t="s">
        <v>64</v>
      </c>
      <c r="L31" s="35" t="s">
        <v>50</v>
      </c>
      <c r="M31" s="35" t="s">
        <v>422</v>
      </c>
      <c r="N31" s="30">
        <v>452.44003083335502</v>
      </c>
      <c r="O31">
        <f t="shared" si="3"/>
        <v>9</v>
      </c>
      <c r="P31" s="73">
        <f t="shared" si="7"/>
        <v>1</v>
      </c>
      <c r="Q31" s="73" t="str">
        <f>IF(P31&gt;1,"Multiple",VLOOKUP(O31,[1]Sheet1!$C$6:$D$17,2,0))</f>
        <v>Orange County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100</v>
      </c>
      <c r="AA31" s="35">
        <v>0</v>
      </c>
      <c r="AB31" s="35">
        <v>0</v>
      </c>
      <c r="AC31" s="35">
        <v>0</v>
      </c>
      <c r="AD31">
        <v>0</v>
      </c>
      <c r="AE31">
        <v>0</v>
      </c>
      <c r="AF31">
        <v>0</v>
      </c>
      <c r="AG31">
        <v>0</v>
      </c>
      <c r="AH31" s="41">
        <v>3.8249999999999999E-2</v>
      </c>
      <c r="AI31" s="41">
        <v>0.14960000000000001</v>
      </c>
      <c r="AJ31" s="53" t="e">
        <f>N31*#REF!/100</f>
        <v>#REF!</v>
      </c>
      <c r="AK31" s="43">
        <v>9.3924999999999995E-2</v>
      </c>
      <c r="AL31" s="43">
        <f t="shared" si="0"/>
        <v>4.0000000000000001E-3</v>
      </c>
      <c r="AM31" s="44"/>
      <c r="AN31" s="44"/>
      <c r="AO31" s="44"/>
      <c r="AP31" s="44"/>
      <c r="AQ31" s="45" t="s">
        <v>135</v>
      </c>
      <c r="AR31" s="45">
        <v>6.6242387332520001E-3</v>
      </c>
      <c r="AS31" s="45">
        <v>4.0000000000000001E-3</v>
      </c>
      <c r="AT31" s="45">
        <v>0.39615702859244301</v>
      </c>
      <c r="AU31" s="45">
        <v>0</v>
      </c>
      <c r="AV31" s="45">
        <v>0.10299999999999999</v>
      </c>
      <c r="AW31" s="45">
        <v>0.03</v>
      </c>
      <c r="AX31" s="45">
        <v>0</v>
      </c>
      <c r="AY31" s="45">
        <v>4.0000000000000001E-3</v>
      </c>
      <c r="AZ31" s="54">
        <v>7.5</v>
      </c>
      <c r="BA31" s="54">
        <v>0</v>
      </c>
      <c r="BB31" s="41">
        <v>6.4652029826010003E-3</v>
      </c>
      <c r="BC31" s="41">
        <v>0.10199999999999999</v>
      </c>
      <c r="BD31" s="41">
        <v>4.0000000000000001E-3</v>
      </c>
      <c r="BE31" s="41">
        <v>0</v>
      </c>
      <c r="BF31" s="41">
        <v>7.0655172413789996E-3</v>
      </c>
      <c r="BG31" s="41">
        <v>0.10299999999999999</v>
      </c>
      <c r="BH31" s="41">
        <v>4.0000000000000001E-3</v>
      </c>
      <c r="BI31" s="41">
        <v>0</v>
      </c>
      <c r="BJ31" s="46">
        <f>IFERROR(VLOOKUP(AP31,'Scoring and Weighting'!$B$10:$C$12,2,FALSE),'Scoring and Weighting'!$C$13)</f>
        <v>70</v>
      </c>
      <c r="BK31" s="46">
        <f>VLOOKUP(AL31,'Scoring and Weighting'!$C$19:$F$23,4)</f>
        <v>30</v>
      </c>
      <c r="BL31" s="47">
        <f t="shared" si="1"/>
        <v>0</v>
      </c>
      <c r="BM31" s="46" t="e">
        <f>VLOOKUP('Table with Jurisdictions'!AJ31,'Scoring and Weighting'!$C$35:$F$39,4,1)</f>
        <v>#REF!</v>
      </c>
      <c r="BN31" s="46">
        <f t="shared" si="2"/>
        <v>20</v>
      </c>
      <c r="BO31" s="48">
        <f>IFERROR(VLOOKUP(AM31,'Scoring and Weighting'!$B$63:$C$65,2,FALSE),1)</f>
        <v>1</v>
      </c>
      <c r="BP31" s="49">
        <f>BJ31*'Scoring and Weighting'!$C$55*'Table with Jurisdictions'!BO31</f>
        <v>17.5</v>
      </c>
      <c r="BQ31" s="49">
        <f>BK31*BO31*'Scoring and Weighting'!$C$56</f>
        <v>7.5</v>
      </c>
      <c r="BR31" s="49">
        <f>BO31*BL31*'Scoring and Weighting'!$C$57</f>
        <v>0</v>
      </c>
      <c r="BS31" s="49" t="e">
        <f>BO31*BM31*'Scoring and Weighting'!$C$58</f>
        <v>#REF!</v>
      </c>
      <c r="BT31" s="49">
        <f>BO31*BN31*'Scoring and Weighting'!$C$59</f>
        <v>3</v>
      </c>
      <c r="BU31" s="50" t="e">
        <f t="shared" si="5"/>
        <v>#REF!</v>
      </c>
      <c r="BX31" s="30">
        <f t="shared" si="6"/>
        <v>9</v>
      </c>
    </row>
    <row r="32" spans="1:76" x14ac:dyDescent="0.25">
      <c r="A32" s="35" t="s">
        <v>48</v>
      </c>
      <c r="B32" s="35">
        <v>66</v>
      </c>
      <c r="C32" s="75">
        <v>42587.655138888891</v>
      </c>
      <c r="D32" s="35" t="s">
        <v>394</v>
      </c>
      <c r="E32" s="35"/>
      <c r="F32" s="35"/>
      <c r="G32" s="35">
        <v>11487</v>
      </c>
      <c r="H32" s="35" t="s">
        <v>175</v>
      </c>
      <c r="I32" s="35">
        <v>1</v>
      </c>
      <c r="J32" s="35">
        <v>0</v>
      </c>
      <c r="K32" s="35" t="s">
        <v>51</v>
      </c>
      <c r="L32" s="35" t="s">
        <v>50</v>
      </c>
      <c r="M32" s="35" t="s">
        <v>423</v>
      </c>
      <c r="N32" s="30">
        <v>145.61257766575201</v>
      </c>
      <c r="O32">
        <f t="shared" si="3"/>
        <v>1</v>
      </c>
      <c r="P32" s="73">
        <f t="shared" si="7"/>
        <v>1</v>
      </c>
      <c r="Q32" s="73" t="str">
        <f>IF(P32&gt;1,"Multiple",VLOOKUP(O32,[1]Sheet1!$C$6:$D$17,2,0))</f>
        <v>Aliso Viejo</v>
      </c>
      <c r="R32" s="35">
        <v>98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2</v>
      </c>
      <c r="AA32" s="35">
        <v>0</v>
      </c>
      <c r="AB32" s="35">
        <v>0</v>
      </c>
      <c r="AC32" s="35">
        <v>0</v>
      </c>
      <c r="AD32">
        <v>0</v>
      </c>
      <c r="AE32">
        <v>0</v>
      </c>
      <c r="AF32">
        <v>0</v>
      </c>
      <c r="AG32">
        <v>0</v>
      </c>
      <c r="AH32" s="41">
        <v>8.7566037735849006E-2</v>
      </c>
      <c r="AI32" s="41">
        <v>8.7566037735849006E-2</v>
      </c>
      <c r="AJ32" s="53" t="e">
        <f>N32*#REF!/100</f>
        <v>#REF!</v>
      </c>
      <c r="AK32" s="43">
        <v>8.7566037735849006E-2</v>
      </c>
      <c r="AL32" s="43">
        <f t="shared" si="0"/>
        <v>4.9587222573583341E-2</v>
      </c>
      <c r="AM32" s="44"/>
      <c r="AN32" s="44"/>
      <c r="AO32" s="44"/>
      <c r="AP32" s="44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1"/>
      <c r="BC32" s="41"/>
      <c r="BD32" s="41"/>
      <c r="BE32" s="41"/>
      <c r="BF32" s="41"/>
      <c r="BG32" s="41"/>
      <c r="BH32" s="41"/>
      <c r="BI32" s="41"/>
      <c r="BJ32" s="46">
        <f>IFERROR(VLOOKUP(AP32,'Scoring and Weighting'!$B$10:$C$12,2,FALSE),'Scoring and Weighting'!$C$13)</f>
        <v>70</v>
      </c>
      <c r="BK32" s="46">
        <f>VLOOKUP(AL32,'Scoring and Weighting'!$C$19:$F$23,4)</f>
        <v>50</v>
      </c>
      <c r="BL32" s="47">
        <f t="shared" si="1"/>
        <v>40</v>
      </c>
      <c r="BM32" s="46" t="e">
        <f>VLOOKUP('Table with Jurisdictions'!AJ32,'Scoring and Weighting'!$C$35:$F$39,4,1)</f>
        <v>#REF!</v>
      </c>
      <c r="BN32" s="46">
        <f t="shared" si="2"/>
        <v>20</v>
      </c>
      <c r="BO32" s="48">
        <f>IFERROR(VLOOKUP(AM32,'Scoring and Weighting'!$B$63:$C$65,2,FALSE),1)</f>
        <v>1</v>
      </c>
      <c r="BP32" s="49">
        <f>BJ32*'Scoring and Weighting'!$C$55*'Table with Jurisdictions'!BO32</f>
        <v>17.5</v>
      </c>
      <c r="BQ32" s="49">
        <f>BK32*BO32*'Scoring and Weighting'!$C$56</f>
        <v>12.5</v>
      </c>
      <c r="BR32" s="49">
        <f>BO32*BL32*'Scoring and Weighting'!$C$57</f>
        <v>10</v>
      </c>
      <c r="BS32" s="49" t="e">
        <f>BO32*BM32*'Scoring and Weighting'!$C$58</f>
        <v>#REF!</v>
      </c>
      <c r="BT32" s="49">
        <f>BO32*BN32*'Scoring and Weighting'!$C$59</f>
        <v>3</v>
      </c>
      <c r="BU32" s="50" t="e">
        <f t="shared" si="5"/>
        <v>#REF!</v>
      </c>
      <c r="BX32" s="30">
        <f t="shared" si="6"/>
        <v>1</v>
      </c>
    </row>
    <row r="33" spans="1:76" x14ac:dyDescent="0.25">
      <c r="A33" s="35" t="s">
        <v>121</v>
      </c>
      <c r="B33" s="35">
        <v>108</v>
      </c>
      <c r="C33" s="75">
        <v>42587.654710648145</v>
      </c>
      <c r="D33" s="35" t="s">
        <v>394</v>
      </c>
      <c r="E33" s="35"/>
      <c r="F33" s="35"/>
      <c r="G33" s="35">
        <v>146</v>
      </c>
      <c r="H33" s="35" t="s">
        <v>424</v>
      </c>
      <c r="I33" s="35">
        <v>1</v>
      </c>
      <c r="J33" s="35">
        <v>0</v>
      </c>
      <c r="K33" s="35" t="s">
        <v>64</v>
      </c>
      <c r="L33" s="35" t="s">
        <v>50</v>
      </c>
      <c r="M33" s="35" t="s">
        <v>425</v>
      </c>
      <c r="N33" s="30">
        <v>1139.55258679796</v>
      </c>
      <c r="O33">
        <f t="shared" si="3"/>
        <v>9</v>
      </c>
      <c r="P33" s="73">
        <f t="shared" si="7"/>
        <v>3</v>
      </c>
      <c r="Q33" s="73" t="str">
        <f>IF(P33&gt;1,"Multiple",VLOOKUP(O33,[1]Sheet1!$C$6:$D$17,2,0))</f>
        <v>Multiple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45</v>
      </c>
      <c r="Z33" s="35">
        <v>29</v>
      </c>
      <c r="AA33" s="35">
        <v>26</v>
      </c>
      <c r="AB33" s="35">
        <v>0</v>
      </c>
      <c r="AC33" s="35">
        <v>0</v>
      </c>
      <c r="AD33">
        <v>100</v>
      </c>
      <c r="AE33">
        <v>0</v>
      </c>
      <c r="AF33">
        <v>0</v>
      </c>
      <c r="AG33">
        <v>100</v>
      </c>
      <c r="AH33" s="41">
        <v>8.9250000000000006E-3</v>
      </c>
      <c r="AI33" s="41">
        <v>8.9250000000000006E-3</v>
      </c>
      <c r="AJ33" s="53" t="e">
        <f>N33*#REF!/100</f>
        <v>#REF!</v>
      </c>
      <c r="AK33" s="43">
        <v>8.9250000000000006E-3</v>
      </c>
      <c r="AL33" s="43">
        <f t="shared" si="0"/>
        <v>5.0540823007690751E-3</v>
      </c>
      <c r="AM33" s="44"/>
      <c r="AN33" s="44"/>
      <c r="AO33" s="44"/>
      <c r="AP33" s="44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1"/>
      <c r="BC33" s="41"/>
      <c r="BD33" s="41"/>
      <c r="BE33" s="41"/>
      <c r="BF33" s="41"/>
      <c r="BG33" s="41"/>
      <c r="BH33" s="41"/>
      <c r="BI33" s="41"/>
      <c r="BJ33" s="46">
        <f>IFERROR(VLOOKUP(AP33,'Scoring and Weighting'!$B$10:$C$12,2,FALSE),'Scoring and Weighting'!$C$13)</f>
        <v>70</v>
      </c>
      <c r="BK33" s="46">
        <f>VLOOKUP(AL33,'Scoring and Weighting'!$C$19:$F$23,4)</f>
        <v>30</v>
      </c>
      <c r="BL33" s="47">
        <f t="shared" si="1"/>
        <v>40</v>
      </c>
      <c r="BM33" s="46" t="e">
        <f>VLOOKUP('Table with Jurisdictions'!AJ33,'Scoring and Weighting'!$C$35:$F$39,4,1)</f>
        <v>#REF!</v>
      </c>
      <c r="BN33" s="46">
        <f t="shared" si="2"/>
        <v>40</v>
      </c>
      <c r="BO33" s="48">
        <f>IFERROR(VLOOKUP(AM33,'Scoring and Weighting'!$B$63:$C$65,2,FALSE),1)</f>
        <v>1</v>
      </c>
      <c r="BP33" s="49">
        <f>BJ33*'Scoring and Weighting'!$C$55*'Table with Jurisdictions'!BO33</f>
        <v>17.5</v>
      </c>
      <c r="BQ33" s="49">
        <f>BK33*BO33*'Scoring and Weighting'!$C$56</f>
        <v>7.5</v>
      </c>
      <c r="BR33" s="49">
        <f>BO33*BL33*'Scoring and Weighting'!$C$57</f>
        <v>10</v>
      </c>
      <c r="BS33" s="49" t="e">
        <f>BO33*BM33*'Scoring and Weighting'!$C$58</f>
        <v>#REF!</v>
      </c>
      <c r="BT33" s="49">
        <f>BO33*BN33*'Scoring and Weighting'!$C$59</f>
        <v>6</v>
      </c>
      <c r="BU33" s="50" t="e">
        <f t="shared" si="5"/>
        <v>#REF!</v>
      </c>
      <c r="BX33" s="30">
        <f t="shared" si="6"/>
        <v>9</v>
      </c>
    </row>
    <row r="34" spans="1:76" x14ac:dyDescent="0.25">
      <c r="A34" s="35" t="s">
        <v>520</v>
      </c>
      <c r="B34" s="35"/>
      <c r="C34" s="75">
        <v>42587.655439814815</v>
      </c>
      <c r="D34" s="35" t="s">
        <v>394</v>
      </c>
      <c r="E34" s="35"/>
      <c r="F34" s="35"/>
      <c r="G34" s="35">
        <v>9273</v>
      </c>
      <c r="H34" s="35" t="s">
        <v>49</v>
      </c>
      <c r="I34" s="35">
        <v>1</v>
      </c>
      <c r="J34" s="35">
        <v>0</v>
      </c>
      <c r="K34" s="35" t="s">
        <v>51</v>
      </c>
      <c r="L34" s="35" t="s">
        <v>50</v>
      </c>
      <c r="M34" s="35" t="s">
        <v>427</v>
      </c>
      <c r="N34" s="30">
        <v>479.88775983888598</v>
      </c>
      <c r="O34">
        <f t="shared" si="3"/>
        <v>7</v>
      </c>
      <c r="P34" s="73">
        <f t="shared" si="7"/>
        <v>1</v>
      </c>
      <c r="Q34" s="73" t="str">
        <f>IF(P34&gt;1,"Multiple",VLOOKUP(O34,[1]Sheet1!$C$6:$D$17,2,0))</f>
        <v>Lake Forest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100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>
        <v>0</v>
      </c>
      <c r="AE34">
        <v>0</v>
      </c>
      <c r="AF34">
        <v>0</v>
      </c>
      <c r="AG34">
        <v>0</v>
      </c>
      <c r="AH34" s="41">
        <v>6.3750000000000001E-2</v>
      </c>
      <c r="AI34" s="41">
        <v>0.11475</v>
      </c>
      <c r="AJ34" s="53" t="e">
        <f>N34*#REF!/100</f>
        <v>#REF!</v>
      </c>
      <c r="AK34" s="43">
        <v>9.758E-2</v>
      </c>
      <c r="AL34" s="43">
        <f t="shared" si="0"/>
        <v>5.5257966488408548E-2</v>
      </c>
      <c r="AM34" s="44"/>
      <c r="AN34" s="44"/>
      <c r="AO34" s="44"/>
      <c r="AP34" s="44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1"/>
      <c r="BC34" s="41"/>
      <c r="BD34" s="41"/>
      <c r="BE34" s="41"/>
      <c r="BF34" s="41"/>
      <c r="BG34" s="41"/>
      <c r="BH34" s="41"/>
      <c r="BI34" s="41"/>
      <c r="BJ34" s="46">
        <f>IFERROR(VLOOKUP(AP34,'Scoring and Weighting'!$B$10:$C$12,2,FALSE),'Scoring and Weighting'!$C$13)</f>
        <v>70</v>
      </c>
      <c r="BK34" s="46">
        <f>VLOOKUP(AL34,'Scoring and Weighting'!$C$19:$F$23,4)</f>
        <v>70</v>
      </c>
      <c r="BL34" s="47">
        <f t="shared" si="1"/>
        <v>40</v>
      </c>
      <c r="BM34" s="46" t="e">
        <f>VLOOKUP('Table with Jurisdictions'!AJ34,'Scoring and Weighting'!$C$35:$F$39,4,1)</f>
        <v>#REF!</v>
      </c>
      <c r="BN34" s="46">
        <f t="shared" si="2"/>
        <v>20</v>
      </c>
      <c r="BO34" s="48">
        <f>IFERROR(VLOOKUP(AM34,'Scoring and Weighting'!$B$63:$C$65,2,FALSE),1)</f>
        <v>1</v>
      </c>
      <c r="BP34" s="49">
        <f>BJ34*'Scoring and Weighting'!$C$55*'Table with Jurisdictions'!BO34</f>
        <v>17.5</v>
      </c>
      <c r="BQ34" s="49">
        <f>BK34*BO34*'Scoring and Weighting'!$C$56</f>
        <v>17.5</v>
      </c>
      <c r="BR34" s="49">
        <f>BO34*BL34*'Scoring and Weighting'!$C$57</f>
        <v>10</v>
      </c>
      <c r="BS34" s="49" t="e">
        <f>BO34*BM34*'Scoring and Weighting'!$C$58</f>
        <v>#REF!</v>
      </c>
      <c r="BT34" s="49">
        <f>BO34*BN34*'Scoring and Weighting'!$C$59</f>
        <v>3</v>
      </c>
      <c r="BU34" s="50" t="e">
        <f t="shared" si="5"/>
        <v>#REF!</v>
      </c>
      <c r="BX34" s="30">
        <f t="shared" si="6"/>
        <v>7</v>
      </c>
    </row>
    <row r="35" spans="1:76" x14ac:dyDescent="0.25">
      <c r="A35" s="35" t="s">
        <v>164</v>
      </c>
      <c r="B35" s="35">
        <v>81</v>
      </c>
      <c r="C35" s="75">
        <v>42570.94771990741</v>
      </c>
      <c r="D35" s="35" t="s">
        <v>394</v>
      </c>
      <c r="E35" s="35"/>
      <c r="F35" s="35"/>
      <c r="G35" s="35">
        <v>727</v>
      </c>
      <c r="H35" s="35" t="s">
        <v>95</v>
      </c>
      <c r="I35" s="35">
        <v>1</v>
      </c>
      <c r="J35" s="35">
        <v>0</v>
      </c>
      <c r="K35" s="35" t="s">
        <v>51</v>
      </c>
      <c r="L35" s="35" t="s">
        <v>50</v>
      </c>
      <c r="M35" s="35" t="s">
        <v>428</v>
      </c>
      <c r="N35" s="30">
        <v>420.34930933019098</v>
      </c>
      <c r="O35">
        <f t="shared" si="3"/>
        <v>8</v>
      </c>
      <c r="P35" s="73">
        <f t="shared" si="7"/>
        <v>1</v>
      </c>
      <c r="Q35" s="73" t="str">
        <f>IF(P35&gt;1,"Multiple",VLOOKUP(O35,[1]Sheet1!$C$6:$D$17,2,0))</f>
        <v>Mission Viejo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1</v>
      </c>
      <c r="Y35" s="35">
        <v>99</v>
      </c>
      <c r="Z35" s="35">
        <v>0</v>
      </c>
      <c r="AA35" s="35">
        <v>0</v>
      </c>
      <c r="AB35" s="35">
        <v>0</v>
      </c>
      <c r="AC35" s="35">
        <v>0</v>
      </c>
      <c r="AD35">
        <v>0</v>
      </c>
      <c r="AE35">
        <v>0</v>
      </c>
      <c r="AF35">
        <v>0</v>
      </c>
      <c r="AG35">
        <v>0</v>
      </c>
      <c r="AH35" s="41">
        <v>0.28560000000000002</v>
      </c>
      <c r="AI35" s="41">
        <v>0.28560000000000002</v>
      </c>
      <c r="AJ35" s="53" t="e">
        <f>N35*#REF!/100</f>
        <v>#REF!</v>
      </c>
      <c r="AK35" s="43">
        <v>0.28560000000000002</v>
      </c>
      <c r="AL35" s="43">
        <f t="shared" si="0"/>
        <v>0.1617306336246104</v>
      </c>
      <c r="AM35" s="44"/>
      <c r="AN35" s="44"/>
      <c r="AO35" s="44"/>
      <c r="AP35" s="44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1"/>
      <c r="BC35" s="41"/>
      <c r="BD35" s="41"/>
      <c r="BE35" s="41"/>
      <c r="BF35" s="41"/>
      <c r="BG35" s="41"/>
      <c r="BH35" s="41"/>
      <c r="BI35" s="41"/>
      <c r="BJ35" s="46">
        <f>IFERROR(VLOOKUP(AP35,'Scoring and Weighting'!$B$10:$C$12,2,FALSE),'Scoring and Weighting'!$C$13)</f>
        <v>70</v>
      </c>
      <c r="BK35" s="46">
        <f>VLOOKUP(AL35,'Scoring and Weighting'!$C$19:$F$23,4)</f>
        <v>90</v>
      </c>
      <c r="BL35" s="47">
        <f t="shared" si="1"/>
        <v>40</v>
      </c>
      <c r="BM35" s="46" t="e">
        <f>VLOOKUP('Table with Jurisdictions'!AJ35,'Scoring and Weighting'!$C$35:$F$39,4,1)</f>
        <v>#REF!</v>
      </c>
      <c r="BN35" s="46">
        <f t="shared" si="2"/>
        <v>20</v>
      </c>
      <c r="BO35" s="48">
        <f>IFERROR(VLOOKUP(AM35,'Scoring and Weighting'!$B$63:$C$65,2,FALSE),1)</f>
        <v>1</v>
      </c>
      <c r="BP35" s="49">
        <f>BJ35*'Scoring and Weighting'!$C$55*'Table with Jurisdictions'!BO35</f>
        <v>17.5</v>
      </c>
      <c r="BQ35" s="49">
        <f>BK35*BO35*'Scoring and Weighting'!$C$56</f>
        <v>22.5</v>
      </c>
      <c r="BR35" s="49">
        <f>BO35*BL35*'Scoring and Weighting'!$C$57</f>
        <v>10</v>
      </c>
      <c r="BS35" s="49" t="e">
        <f>BO35*BM35*'Scoring and Weighting'!$C$58</f>
        <v>#REF!</v>
      </c>
      <c r="BT35" s="49">
        <f>BO35*BN35*'Scoring and Weighting'!$C$59</f>
        <v>3</v>
      </c>
      <c r="BU35" s="50" t="e">
        <f t="shared" si="5"/>
        <v>#REF!</v>
      </c>
      <c r="BX35" s="30">
        <f t="shared" si="6"/>
        <v>8</v>
      </c>
    </row>
    <row r="36" spans="1:76" x14ac:dyDescent="0.25">
      <c r="A36" s="35" t="s">
        <v>183</v>
      </c>
      <c r="B36" s="35">
        <v>36</v>
      </c>
      <c r="C36" s="75">
        <v>42570.94771990741</v>
      </c>
      <c r="D36" s="35" t="s">
        <v>394</v>
      </c>
      <c r="E36" s="35"/>
      <c r="F36" s="35"/>
      <c r="G36" s="35">
        <v>9144</v>
      </c>
      <c r="H36" s="35" t="s">
        <v>49</v>
      </c>
      <c r="I36" s="35">
        <v>1</v>
      </c>
      <c r="J36" s="35">
        <v>0</v>
      </c>
      <c r="K36" s="35" t="s">
        <v>180</v>
      </c>
      <c r="L36" s="35" t="s">
        <v>50</v>
      </c>
      <c r="M36" s="35" t="s">
        <v>429</v>
      </c>
      <c r="N36" s="30">
        <v>224.73038354367301</v>
      </c>
      <c r="O36">
        <f t="shared" si="3"/>
        <v>11</v>
      </c>
      <c r="P36" s="73">
        <f t="shared" si="7"/>
        <v>1</v>
      </c>
      <c r="Q36" s="73" t="str">
        <f>IF(P36&gt;1,"Multiple",VLOOKUP(O36,[1]Sheet1!$C$6:$D$17,2,0))</f>
        <v>San Clemente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100</v>
      </c>
      <c r="AC36" s="35">
        <v>0</v>
      </c>
      <c r="AD36">
        <v>0</v>
      </c>
      <c r="AE36">
        <v>0</v>
      </c>
      <c r="AF36">
        <v>0</v>
      </c>
      <c r="AG36">
        <v>0</v>
      </c>
      <c r="AH36" s="41">
        <v>3.3999999999999998E-3</v>
      </c>
      <c r="AI36" s="41">
        <v>1.0200000000000001E-2</v>
      </c>
      <c r="AJ36" s="53" t="e">
        <f>N36*#REF!/100</f>
        <v>#REF!</v>
      </c>
      <c r="AK36" s="43">
        <v>6.7999999999999996E-3</v>
      </c>
      <c r="AL36" s="43">
        <f t="shared" si="0"/>
        <v>3.8507293720145327E-3</v>
      </c>
      <c r="AM36" s="44" t="s">
        <v>52</v>
      </c>
      <c r="AN36" s="44" t="s">
        <v>53</v>
      </c>
      <c r="AO36" s="44" t="s">
        <v>53</v>
      </c>
      <c r="AP36" s="44" t="s">
        <v>114</v>
      </c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1"/>
      <c r="BC36" s="41"/>
      <c r="BD36" s="41"/>
      <c r="BE36" s="41"/>
      <c r="BF36" s="41"/>
      <c r="BG36" s="41"/>
      <c r="BH36" s="41"/>
      <c r="BI36" s="41"/>
      <c r="BJ36" s="46">
        <f>IFERROR(VLOOKUP(AP36,'Scoring and Weighting'!$B$10:$C$12,2,FALSE),'Scoring and Weighting'!$C$13)</f>
        <v>60</v>
      </c>
      <c r="BK36" s="46">
        <f>VLOOKUP(AL36,'Scoring and Weighting'!$C$19:$F$23,4)</f>
        <v>30</v>
      </c>
      <c r="BL36" s="47">
        <f t="shared" si="1"/>
        <v>40</v>
      </c>
      <c r="BM36" s="46" t="e">
        <f>VLOOKUP('Table with Jurisdictions'!AJ36,'Scoring and Weighting'!$C$35:$F$39,4,1)</f>
        <v>#REF!</v>
      </c>
      <c r="BN36" s="46">
        <f t="shared" si="2"/>
        <v>20</v>
      </c>
      <c r="BO36" s="48">
        <f>IFERROR(VLOOKUP(AM36,'Scoring and Weighting'!$B$63:$C$65,2,FALSE),1)</f>
        <v>1</v>
      </c>
      <c r="BP36" s="49">
        <f>BJ36*'Scoring and Weighting'!$C$55*'Table with Jurisdictions'!BO36</f>
        <v>15</v>
      </c>
      <c r="BQ36" s="49">
        <f>BK36*BO36*'Scoring and Weighting'!$C$56</f>
        <v>7.5</v>
      </c>
      <c r="BR36" s="49">
        <f>BO36*BL36*'Scoring and Weighting'!$C$57</f>
        <v>10</v>
      </c>
      <c r="BS36" s="49" t="e">
        <f>BO36*BM36*'Scoring and Weighting'!$C$58</f>
        <v>#REF!</v>
      </c>
      <c r="BT36" s="49">
        <f>BO36*BN36*'Scoring and Weighting'!$C$59</f>
        <v>3</v>
      </c>
      <c r="BU36" s="50" t="e">
        <f t="shared" si="5"/>
        <v>#REF!</v>
      </c>
      <c r="BX36" s="30">
        <f t="shared" ref="BX36:BX67" si="8">ROUND(SUMPRODUCT(R36:AC36,$R$1:$AC$1)/100,0)</f>
        <v>11</v>
      </c>
    </row>
    <row r="37" spans="1:76" x14ac:dyDescent="0.25">
      <c r="A37" s="35" t="s">
        <v>196</v>
      </c>
      <c r="B37" s="35">
        <v>39</v>
      </c>
      <c r="C37" s="75">
        <v>42570.94771990741</v>
      </c>
      <c r="D37" s="35" t="s">
        <v>394</v>
      </c>
      <c r="E37" s="35"/>
      <c r="F37" s="35"/>
      <c r="G37" s="35">
        <v>9992</v>
      </c>
      <c r="H37" s="35" t="s">
        <v>49</v>
      </c>
      <c r="I37" s="35">
        <v>1</v>
      </c>
      <c r="J37" s="35">
        <v>0</v>
      </c>
      <c r="K37" s="35" t="s">
        <v>84</v>
      </c>
      <c r="L37" s="35" t="s">
        <v>50</v>
      </c>
      <c r="M37" s="35" t="s">
        <v>430</v>
      </c>
      <c r="N37" s="30">
        <v>137.80531846492599</v>
      </c>
      <c r="O37">
        <f t="shared" si="3"/>
        <v>5</v>
      </c>
      <c r="P37" s="73">
        <f t="shared" si="7"/>
        <v>1</v>
      </c>
      <c r="Q37" s="73" t="str">
        <f>IF(P37&gt;1,"Multiple",VLOOKUP(O37,[1]Sheet1!$C$6:$D$17,2,0))</f>
        <v>Laguna Niguel</v>
      </c>
      <c r="R37" s="35">
        <v>0</v>
      </c>
      <c r="S37" s="35">
        <v>0</v>
      </c>
      <c r="T37" s="35">
        <v>0</v>
      </c>
      <c r="U37" s="35">
        <v>0</v>
      </c>
      <c r="V37" s="35">
        <v>100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>
        <v>0</v>
      </c>
      <c r="AE37">
        <v>0</v>
      </c>
      <c r="AF37">
        <v>0</v>
      </c>
      <c r="AG37">
        <v>0</v>
      </c>
      <c r="AH37" s="41">
        <v>2.3678571428569998E-3</v>
      </c>
      <c r="AI37" s="41">
        <v>5.1000000000000004E-3</v>
      </c>
      <c r="AJ37" s="53" t="e">
        <f>N37*#REF!/100</f>
        <v>#REF!</v>
      </c>
      <c r="AK37" s="43">
        <v>3.4455357142860001E-3</v>
      </c>
      <c r="AL37" s="43">
        <f t="shared" si="0"/>
        <v>1.9511508201950254E-3</v>
      </c>
      <c r="AM37" s="44"/>
      <c r="AN37" s="44"/>
      <c r="AO37" s="44"/>
      <c r="AP37" s="44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1"/>
      <c r="BC37" s="41"/>
      <c r="BD37" s="41"/>
      <c r="BE37" s="41"/>
      <c r="BF37" s="41"/>
      <c r="BG37" s="41"/>
      <c r="BH37" s="41"/>
      <c r="BI37" s="41"/>
      <c r="BJ37" s="46">
        <f>IFERROR(VLOOKUP(AP37,'Scoring and Weighting'!$B$10:$C$12,2,FALSE),'Scoring and Weighting'!$C$13)</f>
        <v>70</v>
      </c>
      <c r="BK37" s="46">
        <f>VLOOKUP(AL37,'Scoring and Weighting'!$C$19:$F$23,4)</f>
        <v>30</v>
      </c>
      <c r="BL37" s="47">
        <f t="shared" si="1"/>
        <v>40</v>
      </c>
      <c r="BM37" s="46" t="e">
        <f>VLOOKUP('Table with Jurisdictions'!AJ37,'Scoring and Weighting'!$C$35:$F$39,4,1)</f>
        <v>#REF!</v>
      </c>
      <c r="BN37" s="46">
        <f t="shared" si="2"/>
        <v>20</v>
      </c>
      <c r="BO37" s="48">
        <f>IFERROR(VLOOKUP(AM37,'Scoring and Weighting'!$B$63:$C$65,2,FALSE),1)</f>
        <v>1</v>
      </c>
      <c r="BP37" s="49">
        <f>BJ37*'Scoring and Weighting'!$C$55*'Table with Jurisdictions'!BO37</f>
        <v>17.5</v>
      </c>
      <c r="BQ37" s="49">
        <f>BK37*BO37*'Scoring and Weighting'!$C$56</f>
        <v>7.5</v>
      </c>
      <c r="BR37" s="49">
        <f>BO37*BL37*'Scoring and Weighting'!$C$57</f>
        <v>10</v>
      </c>
      <c r="BS37" s="49" t="e">
        <f>BO37*BM37*'Scoring and Weighting'!$C$58</f>
        <v>#REF!</v>
      </c>
      <c r="BT37" s="49">
        <f>BO37*BN37*'Scoring and Weighting'!$C$59</f>
        <v>3</v>
      </c>
      <c r="BU37" s="50" t="e">
        <f t="shared" si="5"/>
        <v>#REF!</v>
      </c>
      <c r="BX37" s="30">
        <f t="shared" si="8"/>
        <v>5</v>
      </c>
    </row>
    <row r="38" spans="1:76" x14ac:dyDescent="0.25">
      <c r="A38" s="35" t="s">
        <v>85</v>
      </c>
      <c r="B38" s="35">
        <v>78</v>
      </c>
      <c r="C38" s="75">
        <v>42578.864085648151</v>
      </c>
      <c r="D38" s="35" t="s">
        <v>394</v>
      </c>
      <c r="E38" s="35"/>
      <c r="F38" s="35"/>
      <c r="G38" s="35">
        <v>9131</v>
      </c>
      <c r="H38" s="35" t="s">
        <v>49</v>
      </c>
      <c r="I38" s="35">
        <v>1</v>
      </c>
      <c r="J38" s="35">
        <v>0</v>
      </c>
      <c r="K38" s="35" t="s">
        <v>84</v>
      </c>
      <c r="L38" s="35" t="s">
        <v>50</v>
      </c>
      <c r="M38" s="35" t="s">
        <v>431</v>
      </c>
      <c r="N38" s="30">
        <v>512.43104875177801</v>
      </c>
      <c r="O38">
        <f t="shared" si="3"/>
        <v>5</v>
      </c>
      <c r="P38" s="73">
        <f t="shared" si="7"/>
        <v>1</v>
      </c>
      <c r="Q38" s="73" t="str">
        <f>IF(P38&gt;1,"Multiple",VLOOKUP(O38,[1]Sheet1!$C$6:$D$17,2,0))</f>
        <v>Laguna Niguel</v>
      </c>
      <c r="R38" s="35">
        <v>0</v>
      </c>
      <c r="S38" s="35">
        <v>0</v>
      </c>
      <c r="T38" s="35">
        <v>0</v>
      </c>
      <c r="U38" s="35">
        <v>0</v>
      </c>
      <c r="V38" s="35">
        <v>100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>
        <v>0</v>
      </c>
      <c r="AE38">
        <v>0</v>
      </c>
      <c r="AF38">
        <v>0</v>
      </c>
      <c r="AG38">
        <v>0</v>
      </c>
      <c r="AH38" s="41">
        <v>1.7000000000000001E-2</v>
      </c>
      <c r="AI38" s="41">
        <v>1.7000000000000001E-2</v>
      </c>
      <c r="AJ38" s="53" t="e">
        <f>N38*#REF!/100</f>
        <v>#REF!</v>
      </c>
      <c r="AK38" s="43">
        <v>1.7000000000000001E-2</v>
      </c>
      <c r="AL38" s="43">
        <f t="shared" si="0"/>
        <v>9.6268234300363326E-3</v>
      </c>
      <c r="AM38" s="44"/>
      <c r="AN38" s="44"/>
      <c r="AO38" s="44"/>
      <c r="AP38" s="44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1"/>
      <c r="BC38" s="41"/>
      <c r="BD38" s="41"/>
      <c r="BE38" s="41"/>
      <c r="BF38" s="41"/>
      <c r="BG38" s="41"/>
      <c r="BH38" s="41"/>
      <c r="BI38" s="41"/>
      <c r="BJ38" s="46">
        <f>IFERROR(VLOOKUP(AP38,'Scoring and Weighting'!$B$10:$C$12,2,FALSE),'Scoring and Weighting'!$C$13)</f>
        <v>70</v>
      </c>
      <c r="BK38" s="46">
        <f>VLOOKUP(AL38,'Scoring and Weighting'!$C$19:$F$23,4)</f>
        <v>30</v>
      </c>
      <c r="BL38" s="47">
        <f t="shared" si="1"/>
        <v>40</v>
      </c>
      <c r="BM38" s="46" t="e">
        <f>VLOOKUP('Table with Jurisdictions'!AJ38,'Scoring and Weighting'!$C$35:$F$39,4,1)</f>
        <v>#REF!</v>
      </c>
      <c r="BN38" s="46">
        <f t="shared" si="2"/>
        <v>20</v>
      </c>
      <c r="BO38" s="48">
        <f>IFERROR(VLOOKUP(AM38,'Scoring and Weighting'!$B$63:$C$65,2,FALSE),1)</f>
        <v>1</v>
      </c>
      <c r="BP38" s="49">
        <f>BJ38*'Scoring and Weighting'!$C$55*'Table with Jurisdictions'!BO38</f>
        <v>17.5</v>
      </c>
      <c r="BQ38" s="49">
        <f>BK38*BO38*'Scoring and Weighting'!$C$56</f>
        <v>7.5</v>
      </c>
      <c r="BR38" s="49">
        <f>BO38*BL38*'Scoring and Weighting'!$C$57</f>
        <v>10</v>
      </c>
      <c r="BS38" s="49" t="e">
        <f>BO38*BM38*'Scoring and Weighting'!$C$58</f>
        <v>#REF!</v>
      </c>
      <c r="BT38" s="49">
        <f>BO38*BN38*'Scoring and Weighting'!$C$59</f>
        <v>3</v>
      </c>
      <c r="BU38" s="50" t="e">
        <f t="shared" si="5"/>
        <v>#REF!</v>
      </c>
      <c r="BX38" s="30">
        <f t="shared" si="8"/>
        <v>5</v>
      </c>
    </row>
    <row r="39" spans="1:76" x14ac:dyDescent="0.25">
      <c r="A39" s="35" t="s">
        <v>80</v>
      </c>
      <c r="B39" s="35">
        <v>120</v>
      </c>
      <c r="C39" s="75">
        <v>42570.94771990741</v>
      </c>
      <c r="D39" s="35" t="s">
        <v>394</v>
      </c>
      <c r="E39" s="35"/>
      <c r="F39" s="35"/>
      <c r="G39" s="35">
        <v>10019</v>
      </c>
      <c r="H39" s="35" t="s">
        <v>49</v>
      </c>
      <c r="I39" s="35">
        <v>1</v>
      </c>
      <c r="J39" s="35">
        <v>0</v>
      </c>
      <c r="K39" s="35" t="s">
        <v>84</v>
      </c>
      <c r="L39" s="35" t="s">
        <v>50</v>
      </c>
      <c r="M39" s="35" t="s">
        <v>432</v>
      </c>
      <c r="N39" s="30">
        <v>981.05690284121499</v>
      </c>
      <c r="O39">
        <f t="shared" si="3"/>
        <v>4</v>
      </c>
      <c r="P39" s="73">
        <f t="shared" si="7"/>
        <v>2</v>
      </c>
      <c r="Q39" s="73" t="str">
        <f>IF(P39&gt;1,"Multiple",VLOOKUP(O39,[1]Sheet1!$C$6:$D$17,2,0))</f>
        <v>Multiple</v>
      </c>
      <c r="R39" s="35">
        <v>0</v>
      </c>
      <c r="S39" s="35">
        <v>29</v>
      </c>
      <c r="T39" s="35">
        <v>0</v>
      </c>
      <c r="U39" s="35">
        <v>0</v>
      </c>
      <c r="V39" s="35">
        <v>71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>
        <v>0</v>
      </c>
      <c r="AE39">
        <v>0</v>
      </c>
      <c r="AF39">
        <v>0</v>
      </c>
      <c r="AG39">
        <v>0</v>
      </c>
      <c r="AH39" s="41">
        <v>2.55E-5</v>
      </c>
      <c r="AI39" s="41">
        <v>2.55E-5</v>
      </c>
      <c r="AJ39" s="53" t="e">
        <f>N39*#REF!/100</f>
        <v>#REF!</v>
      </c>
      <c r="AK39" s="43">
        <v>2.55E-5</v>
      </c>
      <c r="AL39" s="43">
        <f t="shared" si="0"/>
        <v>1.4440235145054496E-5</v>
      </c>
      <c r="AM39" s="44"/>
      <c r="AN39" s="44"/>
      <c r="AO39" s="44"/>
      <c r="AP39" s="44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1"/>
      <c r="BC39" s="41"/>
      <c r="BD39" s="41"/>
      <c r="BE39" s="41"/>
      <c r="BF39" s="41"/>
      <c r="BG39" s="41"/>
      <c r="BH39" s="41"/>
      <c r="BI39" s="41"/>
      <c r="BJ39" s="46">
        <f>IFERROR(VLOOKUP(AP39,'Scoring and Weighting'!$B$10:$C$12,2,FALSE),'Scoring and Weighting'!$C$13)</f>
        <v>70</v>
      </c>
      <c r="BK39" s="46">
        <f>VLOOKUP(AL39,'Scoring and Weighting'!$C$19:$F$23,4)</f>
        <v>30</v>
      </c>
      <c r="BL39" s="47">
        <f t="shared" si="1"/>
        <v>40</v>
      </c>
      <c r="BM39" s="46" t="e">
        <f>VLOOKUP('Table with Jurisdictions'!AJ39,'Scoring and Weighting'!$C$35:$F$39,4,1)</f>
        <v>#REF!</v>
      </c>
      <c r="BN39" s="46">
        <f t="shared" si="2"/>
        <v>20</v>
      </c>
      <c r="BO39" s="48">
        <f>IFERROR(VLOOKUP(AM39,'Scoring and Weighting'!$B$63:$C$65,2,FALSE),1)</f>
        <v>1</v>
      </c>
      <c r="BP39" s="49">
        <f>BJ39*'Scoring and Weighting'!$C$55*'Table with Jurisdictions'!BO39</f>
        <v>17.5</v>
      </c>
      <c r="BQ39" s="49">
        <f>BK39*BO39*'Scoring and Weighting'!$C$56</f>
        <v>7.5</v>
      </c>
      <c r="BR39" s="49">
        <f>BO39*BL39*'Scoring and Weighting'!$C$57</f>
        <v>10</v>
      </c>
      <c r="BS39" s="49" t="e">
        <f>BO39*BM39*'Scoring and Weighting'!$C$58</f>
        <v>#REF!</v>
      </c>
      <c r="BT39" s="49">
        <f>BO39*BN39*'Scoring and Weighting'!$C$59</f>
        <v>3</v>
      </c>
      <c r="BU39" s="50" t="e">
        <f t="shared" si="5"/>
        <v>#REF!</v>
      </c>
      <c r="BX39" s="30">
        <f t="shared" si="8"/>
        <v>4</v>
      </c>
    </row>
    <row r="40" spans="1:76" x14ac:dyDescent="0.25">
      <c r="A40" s="35" t="s">
        <v>198</v>
      </c>
      <c r="B40" s="35">
        <v>48</v>
      </c>
      <c r="C40" s="75">
        <v>42570.94771990741</v>
      </c>
      <c r="D40" s="35" t="s">
        <v>394</v>
      </c>
      <c r="E40" s="35"/>
      <c r="F40" s="35"/>
      <c r="G40" s="35">
        <v>32</v>
      </c>
      <c r="H40" s="35" t="s">
        <v>214</v>
      </c>
      <c r="I40" s="35">
        <v>1</v>
      </c>
      <c r="J40" s="35">
        <v>0</v>
      </c>
      <c r="K40" s="35" t="s">
        <v>84</v>
      </c>
      <c r="L40" s="35" t="s">
        <v>50</v>
      </c>
      <c r="M40" s="35" t="s">
        <v>433</v>
      </c>
      <c r="N40" s="30">
        <v>126.847249927589</v>
      </c>
      <c r="O40">
        <f t="shared" si="3"/>
        <v>5</v>
      </c>
      <c r="P40" s="73">
        <f t="shared" si="7"/>
        <v>1</v>
      </c>
      <c r="Q40" s="73" t="str">
        <f>IF(P40&gt;1,"Multiple",VLOOKUP(O40,[1]Sheet1!$C$6:$D$17,2,0))</f>
        <v>Laguna Niguel</v>
      </c>
      <c r="R40" s="35">
        <v>0</v>
      </c>
      <c r="S40" s="35">
        <v>0</v>
      </c>
      <c r="T40" s="35">
        <v>0</v>
      </c>
      <c r="U40" s="35">
        <v>0</v>
      </c>
      <c r="V40" s="35">
        <v>100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>
        <v>100</v>
      </c>
      <c r="AE40">
        <v>0</v>
      </c>
      <c r="AF40">
        <v>0</v>
      </c>
      <c r="AG40">
        <v>100</v>
      </c>
      <c r="AH40" s="41">
        <v>8.5000000000000006E-3</v>
      </c>
      <c r="AI40" s="41">
        <v>8.5000000000000006E-3</v>
      </c>
      <c r="AJ40" s="53" t="e">
        <f>N40*#REF!/100</f>
        <v>#REF!</v>
      </c>
      <c r="AK40" s="43">
        <v>8.5000000000000006E-3</v>
      </c>
      <c r="AL40" s="43">
        <f t="shared" si="0"/>
        <v>4.8134117150181663E-3</v>
      </c>
      <c r="AM40" s="44"/>
      <c r="AN40" s="44"/>
      <c r="AO40" s="44"/>
      <c r="AP40" s="44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1"/>
      <c r="BC40" s="41"/>
      <c r="BD40" s="41"/>
      <c r="BE40" s="41"/>
      <c r="BF40" s="41"/>
      <c r="BG40" s="41"/>
      <c r="BH40" s="41"/>
      <c r="BI40" s="41"/>
      <c r="BJ40" s="46">
        <f>IFERROR(VLOOKUP(AP40,'Scoring and Weighting'!$B$10:$C$12,2,FALSE),'Scoring and Weighting'!$C$13)</f>
        <v>70</v>
      </c>
      <c r="BK40" s="46">
        <f>VLOOKUP(AL40,'Scoring and Weighting'!$C$19:$F$23,4)</f>
        <v>30</v>
      </c>
      <c r="BL40" s="47">
        <f t="shared" si="1"/>
        <v>40</v>
      </c>
      <c r="BM40" s="46" t="e">
        <f>VLOOKUP('Table with Jurisdictions'!AJ40,'Scoring and Weighting'!$C$35:$F$39,4,1)</f>
        <v>#REF!</v>
      </c>
      <c r="BN40" s="46">
        <f t="shared" si="2"/>
        <v>40</v>
      </c>
      <c r="BO40" s="48">
        <f>IFERROR(VLOOKUP(AM40,'Scoring and Weighting'!$B$63:$C$65,2,FALSE),1)</f>
        <v>1</v>
      </c>
      <c r="BP40" s="49">
        <f>BJ40*'Scoring and Weighting'!$C$55*'Table with Jurisdictions'!BO40</f>
        <v>17.5</v>
      </c>
      <c r="BQ40" s="49">
        <f>BK40*BO40*'Scoring and Weighting'!$C$56</f>
        <v>7.5</v>
      </c>
      <c r="BR40" s="49">
        <f>BO40*BL40*'Scoring and Weighting'!$C$57</f>
        <v>10</v>
      </c>
      <c r="BS40" s="49" t="e">
        <f>BO40*BM40*'Scoring and Weighting'!$C$58</f>
        <v>#REF!</v>
      </c>
      <c r="BT40" s="49">
        <f>BO40*BN40*'Scoring and Weighting'!$C$59</f>
        <v>6</v>
      </c>
      <c r="BU40" s="50" t="e">
        <f t="shared" si="5"/>
        <v>#REF!</v>
      </c>
      <c r="BX40" s="30">
        <f t="shared" si="8"/>
        <v>5</v>
      </c>
    </row>
    <row r="41" spans="1:76" x14ac:dyDescent="0.25">
      <c r="A41" s="35" t="s">
        <v>107</v>
      </c>
      <c r="B41" s="35">
        <v>90</v>
      </c>
      <c r="C41" s="75">
        <v>42570.94771990741</v>
      </c>
      <c r="D41" s="35" t="s">
        <v>394</v>
      </c>
      <c r="E41" s="35"/>
      <c r="F41" s="35"/>
      <c r="G41" s="35">
        <v>728</v>
      </c>
      <c r="H41" s="35" t="s">
        <v>95</v>
      </c>
      <c r="I41" s="35">
        <v>1</v>
      </c>
      <c r="J41" s="35">
        <v>0</v>
      </c>
      <c r="K41" s="35" t="s">
        <v>64</v>
      </c>
      <c r="L41" s="35" t="s">
        <v>50</v>
      </c>
      <c r="M41" s="35" t="s">
        <v>434</v>
      </c>
      <c r="N41" s="30">
        <v>505.30490247747002</v>
      </c>
      <c r="O41">
        <f t="shared" si="3"/>
        <v>8</v>
      </c>
      <c r="P41" s="73">
        <f t="shared" si="7"/>
        <v>1</v>
      </c>
      <c r="Q41" s="73" t="str">
        <f>IF(P41&gt;1,"Multiple",VLOOKUP(O41,[1]Sheet1!$C$6:$D$17,2,0))</f>
        <v>Mission Viejo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100</v>
      </c>
      <c r="Z41" s="35">
        <v>0</v>
      </c>
      <c r="AA41" s="35">
        <v>0</v>
      </c>
      <c r="AB41" s="35">
        <v>0</v>
      </c>
      <c r="AC41" s="35">
        <v>0</v>
      </c>
      <c r="AD41">
        <v>0</v>
      </c>
      <c r="AE41">
        <v>0</v>
      </c>
      <c r="AF41">
        <v>87</v>
      </c>
      <c r="AG41">
        <v>0</v>
      </c>
      <c r="AH41" s="41">
        <v>2.0910000000000002E-2</v>
      </c>
      <c r="AI41" s="41">
        <v>2.0910000000000002E-2</v>
      </c>
      <c r="AJ41" s="53" t="e">
        <f>N41*#REF!/100</f>
        <v>#REF!</v>
      </c>
      <c r="AK41" s="43">
        <v>2.0910000000000002E-2</v>
      </c>
      <c r="AL41" s="43">
        <f t="shared" si="0"/>
        <v>1.1840992818944688E-2</v>
      </c>
      <c r="AM41" s="44"/>
      <c r="AN41" s="44"/>
      <c r="AO41" s="44"/>
      <c r="AP41" s="44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1"/>
      <c r="BC41" s="41"/>
      <c r="BD41" s="41"/>
      <c r="BE41" s="41"/>
      <c r="BF41" s="41"/>
      <c r="BG41" s="41"/>
      <c r="BH41" s="41"/>
      <c r="BI41" s="41"/>
      <c r="BJ41" s="46">
        <f>IFERROR(VLOOKUP(AP41,'Scoring and Weighting'!$B$10:$C$12,2,FALSE),'Scoring and Weighting'!$C$13)</f>
        <v>70</v>
      </c>
      <c r="BK41" s="46">
        <f>VLOOKUP(AL41,'Scoring and Weighting'!$C$19:$F$23,4)</f>
        <v>30</v>
      </c>
      <c r="BL41" s="47">
        <f t="shared" si="1"/>
        <v>40</v>
      </c>
      <c r="BM41" s="46" t="e">
        <f>VLOOKUP('Table with Jurisdictions'!AJ41,'Scoring and Weighting'!$C$35:$F$39,4,1)</f>
        <v>#REF!</v>
      </c>
      <c r="BN41" s="46">
        <f t="shared" si="2"/>
        <v>20</v>
      </c>
      <c r="BO41" s="48">
        <f>IFERROR(VLOOKUP(AM41,'Scoring and Weighting'!$B$63:$C$65,2,FALSE),1)</f>
        <v>1</v>
      </c>
      <c r="BP41" s="49">
        <f>BJ41*'Scoring and Weighting'!$C$55*'Table with Jurisdictions'!BO41</f>
        <v>17.5</v>
      </c>
      <c r="BQ41" s="49">
        <f>BK41*BO41*'Scoring and Weighting'!$C$56</f>
        <v>7.5</v>
      </c>
      <c r="BR41" s="49">
        <f>BO41*BL41*'Scoring and Weighting'!$C$57</f>
        <v>10</v>
      </c>
      <c r="BS41" s="49" t="e">
        <f>BO41*BM41*'Scoring and Weighting'!$C$58</f>
        <v>#REF!</v>
      </c>
      <c r="BT41" s="49">
        <f>BO41*BN41*'Scoring and Weighting'!$C$59</f>
        <v>3</v>
      </c>
      <c r="BU41" s="50" t="e">
        <f t="shared" si="5"/>
        <v>#REF!</v>
      </c>
      <c r="BX41" s="30">
        <f t="shared" si="8"/>
        <v>8</v>
      </c>
    </row>
    <row r="42" spans="1:76" x14ac:dyDescent="0.25">
      <c r="A42" s="35" t="s">
        <v>521</v>
      </c>
      <c r="B42" s="35">
        <v>36</v>
      </c>
      <c r="C42" s="75">
        <v>42570.94771990741</v>
      </c>
      <c r="D42" s="35" t="s">
        <v>394</v>
      </c>
      <c r="E42" s="35"/>
      <c r="F42" s="35"/>
      <c r="G42" s="35">
        <v>11019</v>
      </c>
      <c r="H42" s="35" t="s">
        <v>148</v>
      </c>
      <c r="I42" s="35">
        <v>1</v>
      </c>
      <c r="J42" s="35">
        <v>0</v>
      </c>
      <c r="K42" s="35" t="s">
        <v>180</v>
      </c>
      <c r="L42" s="35" t="s">
        <v>50</v>
      </c>
      <c r="M42" s="35" t="s">
        <v>435</v>
      </c>
      <c r="N42" s="30">
        <v>199.86814554726499</v>
      </c>
      <c r="O42">
        <f t="shared" si="3"/>
        <v>11</v>
      </c>
      <c r="P42" s="73">
        <f t="shared" si="7"/>
        <v>1</v>
      </c>
      <c r="Q42" s="73" t="str">
        <f>IF(P42&gt;1,"Multiple",VLOOKUP(O42,[1]Sheet1!$C$6:$D$17,2,0))</f>
        <v>San Clemente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100</v>
      </c>
      <c r="AC42" s="35">
        <v>0</v>
      </c>
      <c r="AD42">
        <v>0</v>
      </c>
      <c r="AE42">
        <v>0</v>
      </c>
      <c r="AF42">
        <v>0</v>
      </c>
      <c r="AG42">
        <v>100</v>
      </c>
      <c r="AH42" s="41">
        <v>1.1810526315789001E-2</v>
      </c>
      <c r="AI42" s="41">
        <v>5.0999999999999997E-2</v>
      </c>
      <c r="AJ42" s="53" t="e">
        <f>N42*#REF!/100</f>
        <v>#REF!</v>
      </c>
      <c r="AK42" s="43">
        <v>3.5933270676691997E-2</v>
      </c>
      <c r="AL42" s="43">
        <f t="shared" si="0"/>
        <v>2.0348426592248E-2</v>
      </c>
      <c r="AM42" s="44" t="s">
        <v>52</v>
      </c>
      <c r="AN42" s="44" t="s">
        <v>53</v>
      </c>
      <c r="AO42" s="44" t="s">
        <v>53</v>
      </c>
      <c r="AP42" s="44" t="s">
        <v>114</v>
      </c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1"/>
      <c r="BC42" s="41"/>
      <c r="BD42" s="41"/>
      <c r="BE42" s="41"/>
      <c r="BF42" s="41"/>
      <c r="BG42" s="41"/>
      <c r="BH42" s="41"/>
      <c r="BI42" s="41"/>
      <c r="BJ42" s="46">
        <f>IFERROR(VLOOKUP(AP42,'Scoring and Weighting'!$B$10:$C$12,2,FALSE),'Scoring and Weighting'!$C$13)</f>
        <v>60</v>
      </c>
      <c r="BK42" s="46">
        <f>VLOOKUP(AL42,'Scoring and Weighting'!$C$19:$F$23,4)</f>
        <v>50</v>
      </c>
      <c r="BL42" s="47">
        <f t="shared" si="1"/>
        <v>40</v>
      </c>
      <c r="BM42" s="46" t="e">
        <f>VLOOKUP('Table with Jurisdictions'!AJ42,'Scoring and Weighting'!$C$35:$F$39,4,1)</f>
        <v>#REF!</v>
      </c>
      <c r="BN42" s="46">
        <f t="shared" si="2"/>
        <v>20</v>
      </c>
      <c r="BO42" s="48">
        <f>IFERROR(VLOOKUP(AM42,'Scoring and Weighting'!$B$63:$C$65,2,FALSE),1)</f>
        <v>1</v>
      </c>
      <c r="BP42" s="49">
        <f>BJ42*'Scoring and Weighting'!$C$55*'Table with Jurisdictions'!BO42</f>
        <v>15</v>
      </c>
      <c r="BQ42" s="49">
        <f>BK42*BO42*'Scoring and Weighting'!$C$56</f>
        <v>12.5</v>
      </c>
      <c r="BR42" s="49">
        <f>BO42*BL42*'Scoring and Weighting'!$C$57</f>
        <v>10</v>
      </c>
      <c r="BS42" s="49" t="e">
        <f>BO42*BM42*'Scoring and Weighting'!$C$58</f>
        <v>#REF!</v>
      </c>
      <c r="BT42" s="49">
        <f>BO42*BN42*'Scoring and Weighting'!$C$59</f>
        <v>3</v>
      </c>
      <c r="BU42" s="50" t="e">
        <f t="shared" si="5"/>
        <v>#REF!</v>
      </c>
      <c r="BX42" s="30">
        <f t="shared" si="8"/>
        <v>11</v>
      </c>
    </row>
    <row r="43" spans="1:76" x14ac:dyDescent="0.25">
      <c r="A43" s="35" t="s">
        <v>112</v>
      </c>
      <c r="B43" s="35">
        <v>78</v>
      </c>
      <c r="C43" s="75">
        <v>42570.94771990741</v>
      </c>
      <c r="D43" s="35" t="s">
        <v>394</v>
      </c>
      <c r="E43" s="35"/>
      <c r="F43" s="35"/>
      <c r="G43" s="35">
        <v>9377</v>
      </c>
      <c r="H43" s="35" t="s">
        <v>49</v>
      </c>
      <c r="I43" s="35">
        <v>1</v>
      </c>
      <c r="J43" s="35">
        <v>0</v>
      </c>
      <c r="K43" s="35" t="s">
        <v>64</v>
      </c>
      <c r="L43" s="35" t="s">
        <v>50</v>
      </c>
      <c r="M43" s="35" t="s">
        <v>436</v>
      </c>
      <c r="N43" s="30">
        <v>423.191762478675</v>
      </c>
      <c r="O43">
        <f t="shared" si="3"/>
        <v>8</v>
      </c>
      <c r="P43" s="73">
        <f t="shared" si="7"/>
        <v>1</v>
      </c>
      <c r="Q43" s="73" t="str">
        <f>IF(P43&gt;1,"Multiple",VLOOKUP(O43,[1]Sheet1!$C$6:$D$17,2,0))</f>
        <v>Mission Viejo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100</v>
      </c>
      <c r="Z43" s="35">
        <v>0</v>
      </c>
      <c r="AA43" s="35">
        <v>0</v>
      </c>
      <c r="AB43" s="35">
        <v>0</v>
      </c>
      <c r="AC43" s="35">
        <v>0</v>
      </c>
      <c r="AD43">
        <v>0</v>
      </c>
      <c r="AE43">
        <v>0</v>
      </c>
      <c r="AF43">
        <v>0</v>
      </c>
      <c r="AG43">
        <v>0</v>
      </c>
      <c r="AH43" s="41">
        <v>4.3714285714289997E-3</v>
      </c>
      <c r="AI43" s="41">
        <v>1.6291666666666999E-2</v>
      </c>
      <c r="AJ43" s="53" t="e">
        <f>N43*#REF!/100</f>
        <v>#REF!</v>
      </c>
      <c r="AK43" s="43">
        <v>1.1609920634921E-2</v>
      </c>
      <c r="AL43" s="43">
        <f t="shared" si="0"/>
        <v>6.574509175830575E-3</v>
      </c>
      <c r="AM43" s="44" t="s">
        <v>52</v>
      </c>
      <c r="AN43" s="44" t="s">
        <v>53</v>
      </c>
      <c r="AO43" s="44" t="s">
        <v>53</v>
      </c>
      <c r="AP43" s="44" t="s">
        <v>114</v>
      </c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1"/>
      <c r="BC43" s="41"/>
      <c r="BD43" s="41"/>
      <c r="BE43" s="41"/>
      <c r="BF43" s="41"/>
      <c r="BG43" s="41"/>
      <c r="BH43" s="41"/>
      <c r="BI43" s="41"/>
      <c r="BJ43" s="46">
        <f>IFERROR(VLOOKUP(AP43,'Scoring and Weighting'!$B$10:$C$12,2,FALSE),'Scoring and Weighting'!$C$13)</f>
        <v>60</v>
      </c>
      <c r="BK43" s="46">
        <f>VLOOKUP(AL43,'Scoring and Weighting'!$C$19:$F$23,4)</f>
        <v>30</v>
      </c>
      <c r="BL43" s="47">
        <f t="shared" si="1"/>
        <v>40</v>
      </c>
      <c r="BM43" s="46" t="e">
        <f>VLOOKUP('Table with Jurisdictions'!AJ43,'Scoring and Weighting'!$C$35:$F$39,4,1)</f>
        <v>#REF!</v>
      </c>
      <c r="BN43" s="46">
        <f t="shared" si="2"/>
        <v>20</v>
      </c>
      <c r="BO43" s="48">
        <f>IFERROR(VLOOKUP(AM43,'Scoring and Weighting'!$B$63:$C$65,2,FALSE),1)</f>
        <v>1</v>
      </c>
      <c r="BP43" s="49">
        <f>BJ43*'Scoring and Weighting'!$C$55*'Table with Jurisdictions'!BO43</f>
        <v>15</v>
      </c>
      <c r="BQ43" s="49">
        <f>BK43*BO43*'Scoring and Weighting'!$C$56</f>
        <v>7.5</v>
      </c>
      <c r="BR43" s="49">
        <f>BO43*BL43*'Scoring and Weighting'!$C$57</f>
        <v>10</v>
      </c>
      <c r="BS43" s="49" t="e">
        <f>BO43*BM43*'Scoring and Weighting'!$C$58</f>
        <v>#REF!</v>
      </c>
      <c r="BT43" s="49">
        <f>BO43*BN43*'Scoring and Weighting'!$C$59</f>
        <v>3</v>
      </c>
      <c r="BU43" s="50" t="e">
        <f t="shared" si="5"/>
        <v>#REF!</v>
      </c>
      <c r="BX43" s="30">
        <f t="shared" si="8"/>
        <v>8</v>
      </c>
    </row>
    <row r="44" spans="1:76" x14ac:dyDescent="0.25">
      <c r="A44" s="35" t="s">
        <v>77</v>
      </c>
      <c r="B44" s="35">
        <v>96</v>
      </c>
      <c r="C44" s="75">
        <v>42570.94771990741</v>
      </c>
      <c r="D44" s="35" t="s">
        <v>394</v>
      </c>
      <c r="E44" s="35"/>
      <c r="F44" s="35"/>
      <c r="G44" s="35">
        <v>9349</v>
      </c>
      <c r="H44" s="35" t="s">
        <v>49</v>
      </c>
      <c r="I44" s="35">
        <v>1</v>
      </c>
      <c r="J44" s="35">
        <v>0</v>
      </c>
      <c r="K44" s="35" t="s">
        <v>51</v>
      </c>
      <c r="L44" s="35" t="s">
        <v>50</v>
      </c>
      <c r="M44" s="35" t="s">
        <v>437</v>
      </c>
      <c r="N44" s="30">
        <v>935.90125176455194</v>
      </c>
      <c r="O44">
        <f t="shared" si="3"/>
        <v>5</v>
      </c>
      <c r="P44" s="73">
        <f t="shared" si="7"/>
        <v>4</v>
      </c>
      <c r="Q44" s="73" t="str">
        <f>IF(P44&gt;1,"Multiple",VLOOKUP(O44,[1]Sheet1!$C$6:$D$17,2,0))</f>
        <v>Multiple</v>
      </c>
      <c r="R44" s="35">
        <v>16</v>
      </c>
      <c r="S44" s="35">
        <v>0</v>
      </c>
      <c r="T44" s="35">
        <v>0</v>
      </c>
      <c r="U44" s="35">
        <v>21</v>
      </c>
      <c r="V44" s="35">
        <v>0</v>
      </c>
      <c r="W44" s="35">
        <v>41</v>
      </c>
      <c r="X44" s="35">
        <v>23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>
        <v>0</v>
      </c>
      <c r="AE44">
        <v>0</v>
      </c>
      <c r="AF44">
        <v>0</v>
      </c>
      <c r="AG44">
        <v>0</v>
      </c>
      <c r="AH44" s="41">
        <v>4.0800000000000003E-2</v>
      </c>
      <c r="AI44" s="41">
        <v>0.12239999999999999</v>
      </c>
      <c r="AJ44" s="53" t="e">
        <f>N44*#REF!/100</f>
        <v>#REF!</v>
      </c>
      <c r="AK44" s="43">
        <v>7.3440000000000005E-2</v>
      </c>
      <c r="AL44" s="43">
        <f t="shared" si="0"/>
        <v>4.1587877217756954E-2</v>
      </c>
      <c r="AM44" s="44" t="s">
        <v>52</v>
      </c>
      <c r="AN44" s="44" t="s">
        <v>53</v>
      </c>
      <c r="AO44" s="44" t="s">
        <v>53</v>
      </c>
      <c r="AP44" s="44" t="s">
        <v>114</v>
      </c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1"/>
      <c r="BC44" s="41"/>
      <c r="BD44" s="41"/>
      <c r="BE44" s="41"/>
      <c r="BF44" s="41"/>
      <c r="BG44" s="41"/>
      <c r="BH44" s="41"/>
      <c r="BI44" s="41"/>
      <c r="BJ44" s="46">
        <f>IFERROR(VLOOKUP(AP44,'Scoring and Weighting'!$B$10:$C$12,2,FALSE),'Scoring and Weighting'!$C$13)</f>
        <v>60</v>
      </c>
      <c r="BK44" s="46">
        <f>VLOOKUP(AL44,'Scoring and Weighting'!$C$19:$F$23,4)</f>
        <v>50</v>
      </c>
      <c r="BL44" s="47">
        <f t="shared" si="1"/>
        <v>40</v>
      </c>
      <c r="BM44" s="46" t="e">
        <f>VLOOKUP('Table with Jurisdictions'!AJ44,'Scoring and Weighting'!$C$35:$F$39,4,1)</f>
        <v>#REF!</v>
      </c>
      <c r="BN44" s="46">
        <f t="shared" si="2"/>
        <v>20</v>
      </c>
      <c r="BO44" s="48">
        <f>IFERROR(VLOOKUP(AM44,'Scoring and Weighting'!$B$63:$C$65,2,FALSE),1)</f>
        <v>1</v>
      </c>
      <c r="BP44" s="49">
        <f>BJ44*'Scoring and Weighting'!$C$55*'Table with Jurisdictions'!BO44</f>
        <v>15</v>
      </c>
      <c r="BQ44" s="49">
        <f>BK44*BO44*'Scoring and Weighting'!$C$56</f>
        <v>12.5</v>
      </c>
      <c r="BR44" s="49">
        <f>BO44*BL44*'Scoring and Weighting'!$C$57</f>
        <v>10</v>
      </c>
      <c r="BS44" s="49" t="e">
        <f>BO44*BM44*'Scoring and Weighting'!$C$58</f>
        <v>#REF!</v>
      </c>
      <c r="BT44" s="49">
        <f>BO44*BN44*'Scoring and Weighting'!$C$59</f>
        <v>3</v>
      </c>
      <c r="BU44" s="50" t="e">
        <f t="shared" si="5"/>
        <v>#REF!</v>
      </c>
      <c r="BX44" s="30">
        <f t="shared" si="8"/>
        <v>5</v>
      </c>
    </row>
    <row r="45" spans="1:76" x14ac:dyDescent="0.25">
      <c r="A45" s="35" t="s">
        <v>56</v>
      </c>
      <c r="B45" s="35">
        <v>72</v>
      </c>
      <c r="C45" s="75">
        <v>42570.94771990741</v>
      </c>
      <c r="D45" s="35" t="s">
        <v>394</v>
      </c>
      <c r="E45" s="35"/>
      <c r="F45" s="35"/>
      <c r="G45" s="35">
        <v>9046</v>
      </c>
      <c r="H45" s="35" t="s">
        <v>49</v>
      </c>
      <c r="I45" s="35">
        <v>1</v>
      </c>
      <c r="J45" s="35">
        <v>0</v>
      </c>
      <c r="K45" s="35" t="s">
        <v>51</v>
      </c>
      <c r="L45" s="35" t="s">
        <v>50</v>
      </c>
      <c r="M45" s="35" t="s">
        <v>438</v>
      </c>
      <c r="N45" s="30">
        <v>565.70937302729203</v>
      </c>
      <c r="O45">
        <f t="shared" si="3"/>
        <v>5</v>
      </c>
      <c r="P45" s="73">
        <f t="shared" si="7"/>
        <v>1</v>
      </c>
      <c r="Q45" s="73" t="str">
        <f>IF(P45&gt;1,"Multiple",VLOOKUP(O45,[1]Sheet1!$C$6:$D$17,2,0))</f>
        <v>Laguna Niguel</v>
      </c>
      <c r="R45" s="35">
        <v>0</v>
      </c>
      <c r="S45" s="35">
        <v>0</v>
      </c>
      <c r="T45" s="35">
        <v>0</v>
      </c>
      <c r="U45" s="35">
        <v>0</v>
      </c>
      <c r="V45" s="35">
        <v>100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>
        <v>0</v>
      </c>
      <c r="AE45">
        <v>0</v>
      </c>
      <c r="AF45">
        <v>0</v>
      </c>
      <c r="AG45">
        <v>0</v>
      </c>
      <c r="AH45" s="41">
        <v>1.7212499999999999E-2</v>
      </c>
      <c r="AI45" s="41">
        <v>2.8049999999999999E-2</v>
      </c>
      <c r="AJ45" s="53" t="e">
        <f>N45*#REF!/100</f>
        <v>#REF!</v>
      </c>
      <c r="AK45" s="43">
        <v>2.1462499999999999E-2</v>
      </c>
      <c r="AL45" s="43">
        <f t="shared" si="0"/>
        <v>1.215386458042087E-2</v>
      </c>
      <c r="AM45" s="44" t="s">
        <v>52</v>
      </c>
      <c r="AN45" s="44" t="s">
        <v>53</v>
      </c>
      <c r="AO45" s="44" t="s">
        <v>53</v>
      </c>
      <c r="AP45" s="44" t="s">
        <v>114</v>
      </c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1"/>
      <c r="BC45" s="41"/>
      <c r="BD45" s="41"/>
      <c r="BE45" s="41"/>
      <c r="BF45" s="41"/>
      <c r="BG45" s="41"/>
      <c r="BH45" s="41"/>
      <c r="BI45" s="41"/>
      <c r="BJ45" s="46">
        <f>IFERROR(VLOOKUP(AP45,'Scoring and Weighting'!$B$10:$C$12,2,FALSE),'Scoring and Weighting'!$C$13)</f>
        <v>60</v>
      </c>
      <c r="BK45" s="46">
        <f>VLOOKUP(AL45,'Scoring and Weighting'!$C$19:$F$23,4)</f>
        <v>30</v>
      </c>
      <c r="BL45" s="47">
        <f t="shared" si="1"/>
        <v>40</v>
      </c>
      <c r="BM45" s="46" t="e">
        <f>VLOOKUP('Table with Jurisdictions'!AJ45,'Scoring and Weighting'!$C$35:$F$39,4,1)</f>
        <v>#REF!</v>
      </c>
      <c r="BN45" s="46">
        <f t="shared" si="2"/>
        <v>20</v>
      </c>
      <c r="BO45" s="48">
        <f>IFERROR(VLOOKUP(AM45,'Scoring and Weighting'!$B$63:$C$65,2,FALSE),1)</f>
        <v>1</v>
      </c>
      <c r="BP45" s="49">
        <f>BJ45*'Scoring and Weighting'!$C$55*'Table with Jurisdictions'!BO45</f>
        <v>15</v>
      </c>
      <c r="BQ45" s="49">
        <f>BK45*BO45*'Scoring and Weighting'!$C$56</f>
        <v>7.5</v>
      </c>
      <c r="BR45" s="49">
        <f>BO45*BL45*'Scoring and Weighting'!$C$57</f>
        <v>10</v>
      </c>
      <c r="BS45" s="49" t="e">
        <f>BO45*BM45*'Scoring and Weighting'!$C$58</f>
        <v>#REF!</v>
      </c>
      <c r="BT45" s="49">
        <f>BO45*BN45*'Scoring and Weighting'!$C$59</f>
        <v>3</v>
      </c>
      <c r="BU45" s="50" t="e">
        <f t="shared" si="5"/>
        <v>#REF!</v>
      </c>
      <c r="BX45" s="30">
        <f t="shared" si="8"/>
        <v>5</v>
      </c>
    </row>
    <row r="46" spans="1:76" x14ac:dyDescent="0.25">
      <c r="A46" s="35" t="s">
        <v>98</v>
      </c>
      <c r="B46" s="35">
        <v>96</v>
      </c>
      <c r="C46" s="75">
        <v>42570.94771990741</v>
      </c>
      <c r="D46" s="35" t="s">
        <v>394</v>
      </c>
      <c r="E46" s="35"/>
      <c r="F46" s="35"/>
      <c r="G46" s="35">
        <v>9008</v>
      </c>
      <c r="H46" s="35" t="s">
        <v>49</v>
      </c>
      <c r="I46" s="35">
        <v>1</v>
      </c>
      <c r="J46" s="35">
        <v>0</v>
      </c>
      <c r="K46" s="35" t="s">
        <v>64</v>
      </c>
      <c r="L46" s="35" t="s">
        <v>50</v>
      </c>
      <c r="M46" s="35" t="s">
        <v>439</v>
      </c>
      <c r="N46" s="30">
        <v>494.51618737946802</v>
      </c>
      <c r="O46">
        <f t="shared" si="3"/>
        <v>10</v>
      </c>
      <c r="P46" s="73">
        <f t="shared" si="7"/>
        <v>1</v>
      </c>
      <c r="Q46" s="73" t="str">
        <f>IF(P46&gt;1,"Multiple",VLOOKUP(O46,[1]Sheet1!$C$6:$D$17,2,0))</f>
        <v>Rancho Santa Margarita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1</v>
      </c>
      <c r="AA46" s="35">
        <v>99</v>
      </c>
      <c r="AB46" s="35">
        <v>0</v>
      </c>
      <c r="AC46" s="35">
        <v>0</v>
      </c>
      <c r="AD46">
        <v>0</v>
      </c>
      <c r="AE46">
        <v>0</v>
      </c>
      <c r="AF46">
        <v>0</v>
      </c>
      <c r="AG46">
        <v>0</v>
      </c>
      <c r="AH46" s="41">
        <v>8.4999999999999995E-4</v>
      </c>
      <c r="AI46" s="41">
        <v>1.5299999999999999E-2</v>
      </c>
      <c r="AJ46" s="53" t="e">
        <f>N46*#REF!/100</f>
        <v>#REF!</v>
      </c>
      <c r="AK46" s="43">
        <v>4.9583333333329998E-3</v>
      </c>
      <c r="AL46" s="43">
        <f t="shared" si="0"/>
        <v>2.8078235004270744E-3</v>
      </c>
      <c r="AM46" s="44" t="s">
        <v>52</v>
      </c>
      <c r="AN46" s="44" t="s">
        <v>53</v>
      </c>
      <c r="AO46" s="44" t="s">
        <v>53</v>
      </c>
      <c r="AP46" s="44" t="s">
        <v>114</v>
      </c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1"/>
      <c r="BC46" s="41"/>
      <c r="BD46" s="41"/>
      <c r="BE46" s="41"/>
      <c r="BF46" s="41"/>
      <c r="BG46" s="41"/>
      <c r="BH46" s="41"/>
      <c r="BI46" s="41"/>
      <c r="BJ46" s="46">
        <f>IFERROR(VLOOKUP(AP46,'Scoring and Weighting'!$B$10:$C$12,2,FALSE),'Scoring and Weighting'!$C$13)</f>
        <v>60</v>
      </c>
      <c r="BK46" s="46">
        <f>VLOOKUP(AL46,'Scoring and Weighting'!$C$19:$F$23,4)</f>
        <v>30</v>
      </c>
      <c r="BL46" s="47">
        <f t="shared" si="1"/>
        <v>40</v>
      </c>
      <c r="BM46" s="46" t="e">
        <f>VLOOKUP('Table with Jurisdictions'!AJ46,'Scoring and Weighting'!$C$35:$F$39,4,1)</f>
        <v>#REF!</v>
      </c>
      <c r="BN46" s="46">
        <f t="shared" si="2"/>
        <v>20</v>
      </c>
      <c r="BO46" s="48">
        <f>IFERROR(VLOOKUP(AM46,'Scoring and Weighting'!$B$63:$C$65,2,FALSE),1)</f>
        <v>1</v>
      </c>
      <c r="BP46" s="49">
        <f>BJ46*'Scoring and Weighting'!$C$55*'Table with Jurisdictions'!BO46</f>
        <v>15</v>
      </c>
      <c r="BQ46" s="49">
        <f>BK46*BO46*'Scoring and Weighting'!$C$56</f>
        <v>7.5</v>
      </c>
      <c r="BR46" s="49">
        <f>BO46*BL46*'Scoring and Weighting'!$C$57</f>
        <v>10</v>
      </c>
      <c r="BS46" s="49" t="e">
        <f>BO46*BM46*'Scoring and Weighting'!$C$58</f>
        <v>#REF!</v>
      </c>
      <c r="BT46" s="49">
        <f>BO46*BN46*'Scoring and Weighting'!$C$59</f>
        <v>3</v>
      </c>
      <c r="BU46" s="50" t="e">
        <f t="shared" si="5"/>
        <v>#REF!</v>
      </c>
      <c r="BX46" s="30">
        <f t="shared" si="8"/>
        <v>10</v>
      </c>
    </row>
    <row r="47" spans="1:76" x14ac:dyDescent="0.25">
      <c r="A47" s="35" t="s">
        <v>126</v>
      </c>
      <c r="B47" s="35">
        <v>102</v>
      </c>
      <c r="C47" s="75">
        <v>42570.94771990741</v>
      </c>
      <c r="D47" s="35" t="s">
        <v>394</v>
      </c>
      <c r="E47" s="35"/>
      <c r="F47" s="35"/>
      <c r="G47" s="35">
        <v>10017</v>
      </c>
      <c r="H47" s="35" t="s">
        <v>49</v>
      </c>
      <c r="I47" s="35">
        <v>1</v>
      </c>
      <c r="J47" s="35">
        <v>0</v>
      </c>
      <c r="K47" s="35" t="s">
        <v>51</v>
      </c>
      <c r="L47" s="35" t="s">
        <v>50</v>
      </c>
      <c r="M47" s="35" t="s">
        <v>440</v>
      </c>
      <c r="N47" s="30">
        <v>1358.97161786172</v>
      </c>
      <c r="O47">
        <f t="shared" si="3"/>
        <v>4</v>
      </c>
      <c r="P47" s="73">
        <f t="shared" si="7"/>
        <v>4</v>
      </c>
      <c r="Q47" s="73" t="str">
        <f>IF(P47&gt;1,"Multiple",VLOOKUP(O47,[1]Sheet1!$C$6:$D$17,2,0))</f>
        <v>Multiple</v>
      </c>
      <c r="R47" s="35">
        <v>38</v>
      </c>
      <c r="S47" s="35">
        <v>0</v>
      </c>
      <c r="T47" s="35">
        <v>0</v>
      </c>
      <c r="U47" s="35">
        <v>18</v>
      </c>
      <c r="V47" s="35">
        <v>0</v>
      </c>
      <c r="W47" s="35">
        <v>28</v>
      </c>
      <c r="X47" s="35">
        <v>16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>
        <v>0</v>
      </c>
      <c r="AE47">
        <v>0</v>
      </c>
      <c r="AF47">
        <v>0</v>
      </c>
      <c r="AG47">
        <v>0</v>
      </c>
      <c r="AH47" s="41">
        <v>2.0400000000000001E-3</v>
      </c>
      <c r="AI47" s="41">
        <v>1.7850000000000001E-2</v>
      </c>
      <c r="AJ47" s="53" t="e">
        <f>N47*#REF!/100</f>
        <v>#REF!</v>
      </c>
      <c r="AK47" s="43">
        <v>9.9450000000000007E-3</v>
      </c>
      <c r="AL47" s="43">
        <f t="shared" si="0"/>
        <v>5.6316917065712549E-3</v>
      </c>
      <c r="AM47" s="44"/>
      <c r="AN47" s="44"/>
      <c r="AO47" s="44"/>
      <c r="AP47" s="44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1"/>
      <c r="BC47" s="41"/>
      <c r="BD47" s="41"/>
      <c r="BE47" s="41"/>
      <c r="BF47" s="41"/>
      <c r="BG47" s="41"/>
      <c r="BH47" s="41"/>
      <c r="BI47" s="41"/>
      <c r="BJ47" s="46">
        <f>IFERROR(VLOOKUP(AP47,'Scoring and Weighting'!$B$10:$C$12,2,FALSE),'Scoring and Weighting'!$C$13)</f>
        <v>70</v>
      </c>
      <c r="BK47" s="46">
        <f>VLOOKUP(AL47,'Scoring and Weighting'!$C$19:$F$23,4)</f>
        <v>30</v>
      </c>
      <c r="BL47" s="47">
        <f t="shared" si="1"/>
        <v>40</v>
      </c>
      <c r="BM47" s="46" t="e">
        <f>VLOOKUP('Table with Jurisdictions'!AJ47,'Scoring and Weighting'!$C$35:$F$39,4,1)</f>
        <v>#REF!</v>
      </c>
      <c r="BN47" s="46">
        <f t="shared" si="2"/>
        <v>20</v>
      </c>
      <c r="BO47" s="48">
        <f>IFERROR(VLOOKUP(AM47,'Scoring and Weighting'!$B$63:$C$65,2,FALSE),1)</f>
        <v>1</v>
      </c>
      <c r="BP47" s="49">
        <f>BJ47*'Scoring and Weighting'!$C$55*'Table with Jurisdictions'!BO47</f>
        <v>17.5</v>
      </c>
      <c r="BQ47" s="49">
        <f>BK47*BO47*'Scoring and Weighting'!$C$56</f>
        <v>7.5</v>
      </c>
      <c r="BR47" s="49">
        <f>BO47*BL47*'Scoring and Weighting'!$C$57</f>
        <v>10</v>
      </c>
      <c r="BS47" s="49" t="e">
        <f>BO47*BM47*'Scoring and Weighting'!$C$58</f>
        <v>#REF!</v>
      </c>
      <c r="BT47" s="49">
        <f>BO47*BN47*'Scoring and Weighting'!$C$59</f>
        <v>3</v>
      </c>
      <c r="BU47" s="50" t="e">
        <f t="shared" si="5"/>
        <v>#REF!</v>
      </c>
      <c r="BX47" s="30">
        <f t="shared" si="8"/>
        <v>4</v>
      </c>
    </row>
    <row r="48" spans="1:76" x14ac:dyDescent="0.25">
      <c r="A48" s="35" t="s">
        <v>120</v>
      </c>
      <c r="B48" s="35">
        <v>96</v>
      </c>
      <c r="C48" s="75">
        <v>42578.949178240742</v>
      </c>
      <c r="D48" s="35" t="s">
        <v>441</v>
      </c>
      <c r="E48" s="35"/>
      <c r="F48" s="35"/>
      <c r="G48" s="35">
        <v>9224</v>
      </c>
      <c r="H48" s="35" t="s">
        <v>49</v>
      </c>
      <c r="I48" s="35">
        <v>1</v>
      </c>
      <c r="J48" s="35">
        <v>0</v>
      </c>
      <c r="K48" s="35" t="s">
        <v>64</v>
      </c>
      <c r="L48" s="35" t="s">
        <v>50</v>
      </c>
      <c r="M48" s="35" t="s">
        <v>442</v>
      </c>
      <c r="N48" s="30">
        <v>2236.9481032569702</v>
      </c>
      <c r="O48">
        <f t="shared" si="3"/>
        <v>8</v>
      </c>
      <c r="P48" s="73">
        <f t="shared" si="7"/>
        <v>3</v>
      </c>
      <c r="Q48" s="73" t="str">
        <f>IF(P48&gt;1,"Multiple",VLOOKUP(O48,[1]Sheet1!$C$6:$D$17,2,0))</f>
        <v>Multiple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72</v>
      </c>
      <c r="Z48" s="35">
        <v>15</v>
      </c>
      <c r="AA48" s="35">
        <v>13</v>
      </c>
      <c r="AB48" s="35">
        <v>0</v>
      </c>
      <c r="AC48" s="35">
        <v>0</v>
      </c>
      <c r="AD48">
        <v>0</v>
      </c>
      <c r="AE48">
        <v>0</v>
      </c>
      <c r="AF48">
        <v>0</v>
      </c>
      <c r="AG48">
        <v>0</v>
      </c>
      <c r="AH48" s="41">
        <v>4.0800000000000003E-2</v>
      </c>
      <c r="AI48" s="41">
        <v>7.2697368421052996E-2</v>
      </c>
      <c r="AJ48" s="53" t="e">
        <f>N48*#REF!/100</f>
        <v>#REF!</v>
      </c>
      <c r="AK48" s="43">
        <v>5.6748684210526E-2</v>
      </c>
      <c r="AL48" s="43">
        <f t="shared" si="0"/>
        <v>3.2135856634213207E-2</v>
      </c>
      <c r="AM48" s="44"/>
      <c r="AN48" s="44"/>
      <c r="AO48" s="44"/>
      <c r="AP48" s="44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1"/>
      <c r="BC48" s="41"/>
      <c r="BD48" s="41"/>
      <c r="BE48" s="41"/>
      <c r="BF48" s="41"/>
      <c r="BG48" s="41"/>
      <c r="BH48" s="41"/>
      <c r="BI48" s="41"/>
      <c r="BJ48" s="46">
        <f>IFERROR(VLOOKUP(AP48,'Scoring and Weighting'!$B$10:$C$12,2,FALSE),'Scoring and Weighting'!$C$13)</f>
        <v>70</v>
      </c>
      <c r="BK48" s="46">
        <f>VLOOKUP(AL48,'Scoring and Weighting'!$C$19:$F$23,4)</f>
        <v>50</v>
      </c>
      <c r="BL48" s="47">
        <f t="shared" si="1"/>
        <v>40</v>
      </c>
      <c r="BM48" s="46" t="e">
        <f>VLOOKUP('Table with Jurisdictions'!AJ48,'Scoring and Weighting'!$C$35:$F$39,4,1)</f>
        <v>#REF!</v>
      </c>
      <c r="BN48" s="46">
        <f t="shared" si="2"/>
        <v>20</v>
      </c>
      <c r="BO48" s="48">
        <f>IFERROR(VLOOKUP(AM48,'Scoring and Weighting'!$B$63:$C$65,2,FALSE),1)</f>
        <v>1</v>
      </c>
      <c r="BP48" s="49">
        <f>BJ48*'Scoring and Weighting'!$C$55*'Table with Jurisdictions'!BO48</f>
        <v>17.5</v>
      </c>
      <c r="BQ48" s="49">
        <f>BK48*BO48*'Scoring and Weighting'!$C$56</f>
        <v>12.5</v>
      </c>
      <c r="BR48" s="49">
        <f>BO48*BL48*'Scoring and Weighting'!$C$57</f>
        <v>10</v>
      </c>
      <c r="BS48" s="49" t="e">
        <f>BO48*BM48*'Scoring and Weighting'!$C$58</f>
        <v>#REF!</v>
      </c>
      <c r="BT48" s="49">
        <f>BO48*BN48*'Scoring and Weighting'!$C$59</f>
        <v>3</v>
      </c>
      <c r="BU48" s="50" t="e">
        <f t="shared" si="5"/>
        <v>#REF!</v>
      </c>
      <c r="BX48" s="30">
        <f t="shared" si="8"/>
        <v>8</v>
      </c>
    </row>
    <row r="49" spans="1:76" x14ac:dyDescent="0.25">
      <c r="A49" s="35" t="s">
        <v>472</v>
      </c>
      <c r="B49" s="35"/>
      <c r="C49" s="75">
        <v>42578.904791666668</v>
      </c>
      <c r="D49" s="35" t="s">
        <v>394</v>
      </c>
      <c r="E49" s="35"/>
      <c r="F49" s="35"/>
      <c r="G49" s="35">
        <v>9224</v>
      </c>
      <c r="H49" s="35" t="s">
        <v>49</v>
      </c>
      <c r="I49" s="35">
        <v>1</v>
      </c>
      <c r="J49" s="35">
        <v>0</v>
      </c>
      <c r="K49" s="35" t="s">
        <v>180</v>
      </c>
      <c r="L49" s="35" t="s">
        <v>50</v>
      </c>
      <c r="M49" s="35" t="s">
        <v>443</v>
      </c>
      <c r="N49" s="30">
        <v>3651.9011603689801</v>
      </c>
      <c r="O49">
        <f t="shared" si="3"/>
        <v>11</v>
      </c>
      <c r="P49" s="73">
        <f t="shared" si="7"/>
        <v>2</v>
      </c>
      <c r="Q49" s="73" t="str">
        <f>IF(P49&gt;1,"Multiple",VLOOKUP(O49,[1]Sheet1!$C$6:$D$17,2,0))</f>
        <v>Multiple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19</v>
      </c>
      <c r="AA49" s="35">
        <v>1</v>
      </c>
      <c r="AB49" s="35">
        <v>80</v>
      </c>
      <c r="AC49" s="35">
        <v>0</v>
      </c>
      <c r="AD49">
        <v>0</v>
      </c>
      <c r="AE49">
        <v>0</v>
      </c>
      <c r="AF49">
        <v>0</v>
      </c>
      <c r="AG49">
        <v>0</v>
      </c>
      <c r="AH49" s="41">
        <v>8.4999999999999995E-4</v>
      </c>
      <c r="AI49" s="41">
        <v>8.4999999999999995E-4</v>
      </c>
      <c r="AJ49" s="53" t="e">
        <f>N49*#REF!/100</f>
        <v>#REF!</v>
      </c>
      <c r="AK49" s="43">
        <v>8.4999999999999995E-4</v>
      </c>
      <c r="AL49" s="43">
        <f t="shared" si="0"/>
        <v>4.8134117150181658E-4</v>
      </c>
      <c r="AM49" s="44"/>
      <c r="AN49" s="44"/>
      <c r="AO49" s="44"/>
      <c r="AP49" s="44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1"/>
      <c r="BC49" s="41"/>
      <c r="BD49" s="41"/>
      <c r="BE49" s="41"/>
      <c r="BF49" s="41"/>
      <c r="BG49" s="41"/>
      <c r="BH49" s="41"/>
      <c r="BI49" s="41"/>
      <c r="BJ49" s="46">
        <f>IFERROR(VLOOKUP(AP49,'Scoring and Weighting'!$B$10:$C$12,2,FALSE),'Scoring and Weighting'!$C$13)</f>
        <v>70</v>
      </c>
      <c r="BK49" s="46">
        <f>VLOOKUP(AL49,'Scoring and Weighting'!$C$19:$F$23,4)</f>
        <v>30</v>
      </c>
      <c r="BL49" s="47">
        <f t="shared" si="1"/>
        <v>40</v>
      </c>
      <c r="BM49" s="46" t="e">
        <f>VLOOKUP('Table with Jurisdictions'!AJ49,'Scoring and Weighting'!$C$35:$F$39,4,1)</f>
        <v>#REF!</v>
      </c>
      <c r="BN49" s="46">
        <f t="shared" si="2"/>
        <v>20</v>
      </c>
      <c r="BO49" s="48">
        <f>IFERROR(VLOOKUP(AM49,'Scoring and Weighting'!$B$63:$C$65,2,FALSE),1)</f>
        <v>1</v>
      </c>
      <c r="BP49" s="49">
        <f>BJ49*'Scoring and Weighting'!$C$55*'Table with Jurisdictions'!BO49</f>
        <v>17.5</v>
      </c>
      <c r="BQ49" s="49">
        <f>BK49*BO49*'Scoring and Weighting'!$C$56</f>
        <v>7.5</v>
      </c>
      <c r="BR49" s="49">
        <f>BO49*BL49*'Scoring and Weighting'!$C$57</f>
        <v>10</v>
      </c>
      <c r="BS49" s="49" t="e">
        <f>BO49*BM49*'Scoring and Weighting'!$C$58</f>
        <v>#REF!</v>
      </c>
      <c r="BT49" s="49">
        <f>BO49*BN49*'Scoring and Weighting'!$C$59</f>
        <v>3</v>
      </c>
      <c r="BU49" s="50" t="e">
        <f t="shared" si="5"/>
        <v>#REF!</v>
      </c>
      <c r="BX49" s="30">
        <f t="shared" si="8"/>
        <v>11</v>
      </c>
    </row>
    <row r="50" spans="1:76" x14ac:dyDescent="0.25">
      <c r="A50" s="35" t="s">
        <v>105</v>
      </c>
      <c r="B50" s="35">
        <v>72</v>
      </c>
      <c r="C50" s="75">
        <v>42570.94771990741</v>
      </c>
      <c r="D50" s="35" t="s">
        <v>394</v>
      </c>
      <c r="E50" s="35"/>
      <c r="F50" s="35"/>
      <c r="G50" s="35">
        <v>9144</v>
      </c>
      <c r="H50" s="35" t="s">
        <v>49</v>
      </c>
      <c r="I50" s="35">
        <v>1</v>
      </c>
      <c r="J50" s="35">
        <v>0</v>
      </c>
      <c r="K50" s="35" t="s">
        <v>64</v>
      </c>
      <c r="L50" s="35" t="s">
        <v>50</v>
      </c>
      <c r="M50" s="35" t="s">
        <v>444</v>
      </c>
      <c r="N50" s="30">
        <v>577.85257312354804</v>
      </c>
      <c r="O50">
        <f t="shared" si="3"/>
        <v>8</v>
      </c>
      <c r="P50" s="73">
        <f t="shared" si="7"/>
        <v>1</v>
      </c>
      <c r="Q50" s="73" t="str">
        <f>IF(P50&gt;1,"Multiple",VLOOKUP(O50,[1]Sheet1!$C$6:$D$17,2,0))</f>
        <v>Mission Viejo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100</v>
      </c>
      <c r="Z50" s="35">
        <v>0</v>
      </c>
      <c r="AA50" s="35">
        <v>0</v>
      </c>
      <c r="AB50" s="35">
        <v>0</v>
      </c>
      <c r="AC50" s="35">
        <v>0</v>
      </c>
      <c r="AD50">
        <v>0</v>
      </c>
      <c r="AE50">
        <v>0</v>
      </c>
      <c r="AF50">
        <v>0</v>
      </c>
      <c r="AG50">
        <v>0</v>
      </c>
      <c r="AH50" s="41">
        <v>1.3599999999999999E-2</v>
      </c>
      <c r="AI50" s="41">
        <v>2.0400000000000001E-2</v>
      </c>
      <c r="AJ50" s="53" t="e">
        <f>N50*#REF!/100</f>
        <v>#REF!</v>
      </c>
      <c r="AK50" s="43">
        <v>1.7000000000000001E-2</v>
      </c>
      <c r="AL50" s="43">
        <f t="shared" si="0"/>
        <v>9.6268234300363326E-3</v>
      </c>
      <c r="AM50" s="44" t="s">
        <v>52</v>
      </c>
      <c r="AN50" s="44" t="s">
        <v>53</v>
      </c>
      <c r="AO50" s="44" t="s">
        <v>53</v>
      </c>
      <c r="AP50" s="44" t="s">
        <v>114</v>
      </c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1"/>
      <c r="BC50" s="41"/>
      <c r="BD50" s="41"/>
      <c r="BE50" s="41"/>
      <c r="BF50" s="41"/>
      <c r="BG50" s="41"/>
      <c r="BH50" s="41"/>
      <c r="BI50" s="41"/>
      <c r="BJ50" s="46">
        <f>IFERROR(VLOOKUP(AP50,'Scoring and Weighting'!$B$10:$C$12,2,FALSE),'Scoring and Weighting'!$C$13)</f>
        <v>60</v>
      </c>
      <c r="BK50" s="46">
        <f>VLOOKUP(AL50,'Scoring and Weighting'!$C$19:$F$23,4)</f>
        <v>30</v>
      </c>
      <c r="BL50" s="47">
        <f t="shared" si="1"/>
        <v>40</v>
      </c>
      <c r="BM50" s="46" t="e">
        <f>VLOOKUP('Table with Jurisdictions'!AJ50,'Scoring and Weighting'!$C$35:$F$39,4,1)</f>
        <v>#REF!</v>
      </c>
      <c r="BN50" s="46">
        <f t="shared" si="2"/>
        <v>20</v>
      </c>
      <c r="BO50" s="48">
        <f>IFERROR(VLOOKUP(AM50,'Scoring and Weighting'!$B$63:$C$65,2,FALSE),1)</f>
        <v>1</v>
      </c>
      <c r="BP50" s="49">
        <f>BJ50*'Scoring and Weighting'!$C$55*'Table with Jurisdictions'!BO50</f>
        <v>15</v>
      </c>
      <c r="BQ50" s="49">
        <f>BK50*BO50*'Scoring and Weighting'!$C$56</f>
        <v>7.5</v>
      </c>
      <c r="BR50" s="49">
        <f>BO50*BL50*'Scoring and Weighting'!$C$57</f>
        <v>10</v>
      </c>
      <c r="BS50" s="49" t="e">
        <f>BO50*BM50*'Scoring and Weighting'!$C$58</f>
        <v>#REF!</v>
      </c>
      <c r="BT50" s="49">
        <f>BO50*BN50*'Scoring and Weighting'!$C$59</f>
        <v>3</v>
      </c>
      <c r="BU50" s="50" t="e">
        <f t="shared" si="5"/>
        <v>#REF!</v>
      </c>
      <c r="BX50" s="30">
        <f t="shared" si="8"/>
        <v>8</v>
      </c>
    </row>
    <row r="51" spans="1:76" x14ac:dyDescent="0.25">
      <c r="A51" s="35" t="s">
        <v>100</v>
      </c>
      <c r="B51" s="35">
        <v>90</v>
      </c>
      <c r="C51" s="75">
        <v>42586.646006944444</v>
      </c>
      <c r="D51" s="35" t="s">
        <v>394</v>
      </c>
      <c r="E51" s="35"/>
      <c r="F51" s="35"/>
      <c r="G51" s="35">
        <v>9066</v>
      </c>
      <c r="H51" s="35" t="s">
        <v>49</v>
      </c>
      <c r="I51" s="35">
        <v>1</v>
      </c>
      <c r="J51" s="35">
        <v>0</v>
      </c>
      <c r="K51" s="35" t="s">
        <v>64</v>
      </c>
      <c r="L51" s="35" t="s">
        <v>50</v>
      </c>
      <c r="M51" s="35" t="s">
        <v>445</v>
      </c>
      <c r="N51" s="30">
        <v>454.69156130735701</v>
      </c>
      <c r="O51">
        <f t="shared" si="3"/>
        <v>8</v>
      </c>
      <c r="P51" s="73">
        <f t="shared" si="7"/>
        <v>1</v>
      </c>
      <c r="Q51" s="73" t="str">
        <f>IF(P51&gt;1,"Multiple",VLOOKUP(O51,[1]Sheet1!$C$6:$D$17,2,0))</f>
        <v>Mission Viejo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100</v>
      </c>
      <c r="Z51" s="35">
        <v>0</v>
      </c>
      <c r="AA51" s="35">
        <v>0</v>
      </c>
      <c r="AB51" s="35">
        <v>0</v>
      </c>
      <c r="AC51" s="35">
        <v>0</v>
      </c>
      <c r="AD51">
        <v>0</v>
      </c>
      <c r="AE51">
        <v>0</v>
      </c>
      <c r="AF51">
        <v>0</v>
      </c>
      <c r="AG51">
        <v>0</v>
      </c>
      <c r="AH51" s="41">
        <v>1.7849999999999999E-3</v>
      </c>
      <c r="AI51" s="41">
        <v>3.0599999999999998E-3</v>
      </c>
      <c r="AJ51" s="53" t="e">
        <f>N51*#REF!/100</f>
        <v>#REF!</v>
      </c>
      <c r="AK51" s="43">
        <v>2.4225000000000002E-3</v>
      </c>
      <c r="AL51" s="43">
        <f t="shared" si="0"/>
        <v>1.3718223387801773E-3</v>
      </c>
      <c r="AM51" s="44" t="s">
        <v>52</v>
      </c>
      <c r="AN51" s="44" t="s">
        <v>53</v>
      </c>
      <c r="AO51" s="44" t="s">
        <v>53</v>
      </c>
      <c r="AP51" s="44" t="s">
        <v>114</v>
      </c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1"/>
      <c r="BC51" s="41"/>
      <c r="BD51" s="41"/>
      <c r="BE51" s="41"/>
      <c r="BF51" s="41"/>
      <c r="BG51" s="41"/>
      <c r="BH51" s="41"/>
      <c r="BI51" s="41"/>
      <c r="BJ51" s="46">
        <f>IFERROR(VLOOKUP(AP51,'Scoring and Weighting'!$B$10:$C$12,2,FALSE),'Scoring and Weighting'!$C$13)</f>
        <v>60</v>
      </c>
      <c r="BK51" s="46">
        <f>VLOOKUP(AL51,'Scoring and Weighting'!$C$19:$F$23,4)</f>
        <v>30</v>
      </c>
      <c r="BL51" s="47">
        <f t="shared" si="1"/>
        <v>40</v>
      </c>
      <c r="BM51" s="46" t="e">
        <f>VLOOKUP('Table with Jurisdictions'!AJ51,'Scoring and Weighting'!$C$35:$F$39,4,1)</f>
        <v>#REF!</v>
      </c>
      <c r="BN51" s="46">
        <f t="shared" si="2"/>
        <v>20</v>
      </c>
      <c r="BO51" s="48">
        <f>IFERROR(VLOOKUP(AM51,'Scoring and Weighting'!$B$63:$C$65,2,FALSE),1)</f>
        <v>1</v>
      </c>
      <c r="BP51" s="49">
        <f>BJ51*'Scoring and Weighting'!$C$55*'Table with Jurisdictions'!BO51</f>
        <v>15</v>
      </c>
      <c r="BQ51" s="49">
        <f>BK51*BO51*'Scoring and Weighting'!$C$56</f>
        <v>7.5</v>
      </c>
      <c r="BR51" s="49">
        <f>BO51*BL51*'Scoring and Weighting'!$C$57</f>
        <v>10</v>
      </c>
      <c r="BS51" s="49" t="e">
        <f>BO51*BM51*'Scoring and Weighting'!$C$58</f>
        <v>#REF!</v>
      </c>
      <c r="BT51" s="49">
        <f>BO51*BN51*'Scoring and Weighting'!$C$59</f>
        <v>3</v>
      </c>
      <c r="BU51" s="50" t="e">
        <f t="shared" si="5"/>
        <v>#REF!</v>
      </c>
      <c r="BX51" s="30">
        <f t="shared" si="8"/>
        <v>8</v>
      </c>
    </row>
    <row r="52" spans="1:76" x14ac:dyDescent="0.25">
      <c r="A52" s="35" t="s">
        <v>176</v>
      </c>
      <c r="B52" s="35">
        <v>48</v>
      </c>
      <c r="C52" s="75">
        <v>42578.948807870373</v>
      </c>
      <c r="D52" s="35" t="s">
        <v>441</v>
      </c>
      <c r="E52" s="35"/>
      <c r="F52" s="35"/>
      <c r="G52" s="35">
        <v>9066</v>
      </c>
      <c r="H52" s="35" t="s">
        <v>49</v>
      </c>
      <c r="I52" s="35">
        <v>1</v>
      </c>
      <c r="J52" s="35">
        <v>0</v>
      </c>
      <c r="K52" s="35" t="s">
        <v>149</v>
      </c>
      <c r="L52" s="35" t="s">
        <v>50</v>
      </c>
      <c r="M52" s="35" t="s">
        <v>446</v>
      </c>
      <c r="N52" s="30">
        <v>223.336799908812</v>
      </c>
      <c r="O52">
        <f t="shared" si="3"/>
        <v>3</v>
      </c>
      <c r="P52" s="73">
        <f t="shared" si="7"/>
        <v>1</v>
      </c>
      <c r="Q52" s="73" t="str">
        <f>IF(P52&gt;1,"Multiple",VLOOKUP(O52,[1]Sheet1!$C$6:$D$17,2,0))</f>
        <v>Laguna Beach</v>
      </c>
      <c r="R52" s="35">
        <v>0</v>
      </c>
      <c r="S52" s="35">
        <v>0</v>
      </c>
      <c r="T52" s="35">
        <v>92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8</v>
      </c>
      <c r="AA52" s="35">
        <v>0</v>
      </c>
      <c r="AB52" s="35">
        <v>0</v>
      </c>
      <c r="AC52" s="35">
        <v>0</v>
      </c>
      <c r="AD52">
        <v>0</v>
      </c>
      <c r="AE52">
        <v>0</v>
      </c>
      <c r="AF52">
        <v>0</v>
      </c>
      <c r="AG52">
        <v>0</v>
      </c>
      <c r="AH52" s="41">
        <v>1.7000000000000001E-2</v>
      </c>
      <c r="AI52" s="41">
        <v>4.0800000000000003E-2</v>
      </c>
      <c r="AJ52" s="53" t="e">
        <f>N52*#REF!/100</f>
        <v>#REF!</v>
      </c>
      <c r="AK52" s="43">
        <v>2.7171666666667E-2</v>
      </c>
      <c r="AL52" s="43">
        <f t="shared" si="0"/>
        <v>1.5386872782341592E-2</v>
      </c>
      <c r="AM52" s="44" t="s">
        <v>52</v>
      </c>
      <c r="AN52" s="44" t="s">
        <v>53</v>
      </c>
      <c r="AO52" s="44" t="s">
        <v>53</v>
      </c>
      <c r="AP52" s="44" t="s">
        <v>114</v>
      </c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1"/>
      <c r="BC52" s="41"/>
      <c r="BD52" s="41"/>
      <c r="BE52" s="41"/>
      <c r="BF52" s="41"/>
      <c r="BG52" s="41"/>
      <c r="BH52" s="41"/>
      <c r="BI52" s="41"/>
      <c r="BJ52" s="46">
        <f>IFERROR(VLOOKUP(AP52,'Scoring and Weighting'!$B$10:$C$12,2,FALSE),'Scoring and Weighting'!$C$13)</f>
        <v>60</v>
      </c>
      <c r="BK52" s="46">
        <f>VLOOKUP(AL52,'Scoring and Weighting'!$C$19:$F$23,4)</f>
        <v>50</v>
      </c>
      <c r="BL52" s="47">
        <f t="shared" si="1"/>
        <v>40</v>
      </c>
      <c r="BM52" s="46" t="e">
        <f>VLOOKUP('Table with Jurisdictions'!AJ52,'Scoring and Weighting'!$C$35:$F$39,4,1)</f>
        <v>#REF!</v>
      </c>
      <c r="BN52" s="46">
        <f t="shared" si="2"/>
        <v>20</v>
      </c>
      <c r="BO52" s="48">
        <f>IFERROR(VLOOKUP(AM52,'Scoring and Weighting'!$B$63:$C$65,2,FALSE),1)</f>
        <v>1</v>
      </c>
      <c r="BP52" s="49">
        <f>BJ52*'Scoring and Weighting'!$C$55*'Table with Jurisdictions'!BO52</f>
        <v>15</v>
      </c>
      <c r="BQ52" s="49">
        <f>BK52*BO52*'Scoring and Weighting'!$C$56</f>
        <v>12.5</v>
      </c>
      <c r="BR52" s="49">
        <f>BO52*BL52*'Scoring and Weighting'!$C$57</f>
        <v>10</v>
      </c>
      <c r="BS52" s="49" t="e">
        <f>BO52*BM52*'Scoring and Weighting'!$C$58</f>
        <v>#REF!</v>
      </c>
      <c r="BT52" s="49">
        <f>BO52*BN52*'Scoring and Weighting'!$C$59</f>
        <v>3</v>
      </c>
      <c r="BU52" s="50" t="e">
        <f t="shared" si="5"/>
        <v>#REF!</v>
      </c>
      <c r="BX52" s="30">
        <f t="shared" si="8"/>
        <v>3</v>
      </c>
    </row>
    <row r="53" spans="1:76" x14ac:dyDescent="0.25">
      <c r="A53" s="35" t="s">
        <v>252</v>
      </c>
      <c r="B53" s="35">
        <v>48</v>
      </c>
      <c r="C53" s="75">
        <v>42570.94771990741</v>
      </c>
      <c r="D53" s="35" t="s">
        <v>394</v>
      </c>
      <c r="E53" s="35"/>
      <c r="F53" s="35"/>
      <c r="G53" s="35">
        <v>9785</v>
      </c>
      <c r="H53" s="35" t="s">
        <v>49</v>
      </c>
      <c r="I53" s="35">
        <v>1</v>
      </c>
      <c r="J53" s="35">
        <v>0</v>
      </c>
      <c r="K53" s="35" t="s">
        <v>149</v>
      </c>
      <c r="L53" s="35" t="s">
        <v>50</v>
      </c>
      <c r="M53" s="35" t="s">
        <v>447</v>
      </c>
      <c r="N53" s="30">
        <v>12.1490758011319</v>
      </c>
      <c r="O53">
        <f t="shared" si="3"/>
        <v>3</v>
      </c>
      <c r="P53" s="73">
        <f t="shared" si="7"/>
        <v>1</v>
      </c>
      <c r="Q53" s="73" t="str">
        <f>IF(P53&gt;1,"Multiple",VLOOKUP(O53,[1]Sheet1!$C$6:$D$17,2,0))</f>
        <v>Laguna Beach</v>
      </c>
      <c r="R53" s="35">
        <v>0</v>
      </c>
      <c r="S53" s="35">
        <v>0</v>
      </c>
      <c r="T53" s="35">
        <v>100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>
        <v>0</v>
      </c>
      <c r="AE53">
        <v>0</v>
      </c>
      <c r="AF53">
        <v>0</v>
      </c>
      <c r="AG53">
        <v>0</v>
      </c>
      <c r="AH53" s="41">
        <v>1.813333333333E-3</v>
      </c>
      <c r="AI53" s="41">
        <v>2.9750000000000002E-3</v>
      </c>
      <c r="AJ53" s="53" t="e">
        <f>N53*#REF!/100</f>
        <v>#REF!</v>
      </c>
      <c r="AK53" s="43">
        <v>2.3941666666669999E-3</v>
      </c>
      <c r="AL53" s="43">
        <f t="shared" si="0"/>
        <v>1.3557776330636387E-3</v>
      </c>
      <c r="AM53" s="44" t="s">
        <v>52</v>
      </c>
      <c r="AN53" s="44" t="s">
        <v>53</v>
      </c>
      <c r="AO53" s="44" t="s">
        <v>53</v>
      </c>
      <c r="AP53" s="44" t="s">
        <v>114</v>
      </c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1"/>
      <c r="BC53" s="41"/>
      <c r="BD53" s="41"/>
      <c r="BE53" s="41"/>
      <c r="BF53" s="41"/>
      <c r="BG53" s="41"/>
      <c r="BH53" s="41"/>
      <c r="BI53" s="41"/>
      <c r="BJ53" s="46">
        <f>IFERROR(VLOOKUP(AP53,'Scoring and Weighting'!$B$10:$C$12,2,FALSE),'Scoring and Weighting'!$C$13)</f>
        <v>60</v>
      </c>
      <c r="BK53" s="46">
        <f>VLOOKUP(AL53,'Scoring and Weighting'!$C$19:$F$23,4)</f>
        <v>30</v>
      </c>
      <c r="BL53" s="47">
        <f t="shared" si="1"/>
        <v>40</v>
      </c>
      <c r="BM53" s="46" t="e">
        <f>VLOOKUP('Table with Jurisdictions'!AJ53,'Scoring and Weighting'!$C$35:$F$39,4,1)</f>
        <v>#REF!</v>
      </c>
      <c r="BN53" s="46">
        <f t="shared" si="2"/>
        <v>20</v>
      </c>
      <c r="BO53" s="48">
        <f>IFERROR(VLOOKUP(AM53,'Scoring and Weighting'!$B$63:$C$65,2,FALSE),1)</f>
        <v>1</v>
      </c>
      <c r="BP53" s="49">
        <f>BJ53*'Scoring and Weighting'!$C$55*'Table with Jurisdictions'!BO53</f>
        <v>15</v>
      </c>
      <c r="BQ53" s="49">
        <f>BK53*BO53*'Scoring and Weighting'!$C$56</f>
        <v>7.5</v>
      </c>
      <c r="BR53" s="49">
        <f>BO53*BL53*'Scoring and Weighting'!$C$57</f>
        <v>10</v>
      </c>
      <c r="BS53" s="49" t="e">
        <f>BO53*BM53*'Scoring and Weighting'!$C$58</f>
        <v>#REF!</v>
      </c>
      <c r="BT53" s="49">
        <f>BO53*BN53*'Scoring and Weighting'!$C$59</f>
        <v>3</v>
      </c>
      <c r="BU53" s="50" t="e">
        <f t="shared" si="5"/>
        <v>#REF!</v>
      </c>
      <c r="BX53" s="30">
        <f t="shared" si="8"/>
        <v>3</v>
      </c>
    </row>
    <row r="54" spans="1:76" x14ac:dyDescent="0.25">
      <c r="A54" s="35" t="s">
        <v>174</v>
      </c>
      <c r="B54" s="35">
        <v>48</v>
      </c>
      <c r="C54" s="75">
        <v>42578.901967592596</v>
      </c>
      <c r="D54" s="35" t="s">
        <v>394</v>
      </c>
      <c r="E54" s="35"/>
      <c r="F54" s="35"/>
      <c r="G54" s="35">
        <v>9005</v>
      </c>
      <c r="H54" s="35" t="s">
        <v>49</v>
      </c>
      <c r="I54" s="35">
        <v>1</v>
      </c>
      <c r="J54" s="35">
        <v>0</v>
      </c>
      <c r="K54" s="35" t="s">
        <v>149</v>
      </c>
      <c r="L54" s="35" t="s">
        <v>50</v>
      </c>
      <c r="M54" s="35" t="s">
        <v>448</v>
      </c>
      <c r="N54" s="30">
        <v>46.811042122592802</v>
      </c>
      <c r="O54">
        <f t="shared" si="3"/>
        <v>6</v>
      </c>
      <c r="P54" s="73">
        <f t="shared" si="7"/>
        <v>1</v>
      </c>
      <c r="Q54" s="73" t="str">
        <f>IF(P54&gt;1,"Multiple",VLOOKUP(O54,[1]Sheet1!$C$6:$D$17,2,0))</f>
        <v>Laguna Woods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100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>
        <v>0</v>
      </c>
      <c r="AE54">
        <v>0</v>
      </c>
      <c r="AF54">
        <v>0</v>
      </c>
      <c r="AG54">
        <v>0</v>
      </c>
      <c r="AH54" s="41">
        <v>4.2500000000000003E-2</v>
      </c>
      <c r="AI54" s="41">
        <v>4.2500000000000003E-2</v>
      </c>
      <c r="AJ54" s="53" t="e">
        <f>N54*#REF!/100</f>
        <v>#REF!</v>
      </c>
      <c r="AK54" s="43">
        <v>4.2500000000000003E-2</v>
      </c>
      <c r="AL54" s="43">
        <f t="shared" si="0"/>
        <v>2.4067058575090831E-2</v>
      </c>
      <c r="AM54" s="44"/>
      <c r="AN54" s="44"/>
      <c r="AO54" s="44"/>
      <c r="AP54" s="44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1"/>
      <c r="BC54" s="41"/>
      <c r="BD54" s="41"/>
      <c r="BE54" s="41"/>
      <c r="BF54" s="41"/>
      <c r="BG54" s="41"/>
      <c r="BH54" s="41"/>
      <c r="BI54" s="41"/>
      <c r="BJ54" s="46">
        <f>IFERROR(VLOOKUP(AP54,'Scoring and Weighting'!$B$10:$C$12,2,FALSE),'Scoring and Weighting'!$C$13)</f>
        <v>70</v>
      </c>
      <c r="BK54" s="46">
        <f>VLOOKUP(AL54,'Scoring and Weighting'!$C$19:$F$23,4)</f>
        <v>50</v>
      </c>
      <c r="BL54" s="47">
        <f t="shared" si="1"/>
        <v>40</v>
      </c>
      <c r="BM54" s="46" t="e">
        <f>VLOOKUP('Table with Jurisdictions'!AJ54,'Scoring and Weighting'!$C$35:$F$39,4,1)</f>
        <v>#REF!</v>
      </c>
      <c r="BN54" s="46">
        <f t="shared" si="2"/>
        <v>20</v>
      </c>
      <c r="BO54" s="48">
        <f>IFERROR(VLOOKUP(AM54,'Scoring and Weighting'!$B$63:$C$65,2,FALSE),1)</f>
        <v>1</v>
      </c>
      <c r="BP54" s="49">
        <f>BJ54*'Scoring and Weighting'!$C$55*'Table with Jurisdictions'!BO54</f>
        <v>17.5</v>
      </c>
      <c r="BQ54" s="49">
        <f>BK54*BO54*'Scoring and Weighting'!$C$56</f>
        <v>12.5</v>
      </c>
      <c r="BR54" s="49">
        <f>BO54*BL54*'Scoring and Weighting'!$C$57</f>
        <v>10</v>
      </c>
      <c r="BS54" s="49" t="e">
        <f>BO54*BM54*'Scoring and Weighting'!$C$58</f>
        <v>#REF!</v>
      </c>
      <c r="BT54" s="49">
        <f>BO54*BN54*'Scoring and Weighting'!$C$59</f>
        <v>3</v>
      </c>
      <c r="BU54" s="50" t="e">
        <f t="shared" si="5"/>
        <v>#REF!</v>
      </c>
      <c r="BX54" s="30">
        <f t="shared" si="8"/>
        <v>6</v>
      </c>
    </row>
    <row r="55" spans="1:76" x14ac:dyDescent="0.25">
      <c r="A55" s="35" t="s">
        <v>155</v>
      </c>
      <c r="B55" s="35">
        <v>48</v>
      </c>
      <c r="C55" s="75">
        <v>42570.94771990741</v>
      </c>
      <c r="D55" s="35" t="s">
        <v>394</v>
      </c>
      <c r="E55" s="35"/>
      <c r="F55" s="35"/>
      <c r="G55" s="35">
        <v>9368</v>
      </c>
      <c r="H55" s="35" t="s">
        <v>57</v>
      </c>
      <c r="I55" s="35">
        <v>1</v>
      </c>
      <c r="J55" s="35">
        <v>0</v>
      </c>
      <c r="K55" s="35" t="s">
        <v>51</v>
      </c>
      <c r="L55" s="35" t="s">
        <v>50</v>
      </c>
      <c r="M55" s="35" t="s">
        <v>449</v>
      </c>
      <c r="N55" s="30">
        <v>17.4225671883021</v>
      </c>
      <c r="O55">
        <f t="shared" si="3"/>
        <v>1</v>
      </c>
      <c r="P55" s="73">
        <f t="shared" si="7"/>
        <v>1</v>
      </c>
      <c r="Q55" s="73" t="str">
        <f>IF(P55&gt;1,"Multiple",VLOOKUP(O55,[1]Sheet1!$C$6:$D$17,2,0))</f>
        <v>Aliso Viejo</v>
      </c>
      <c r="R55" s="35">
        <v>100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>
        <v>0</v>
      </c>
      <c r="AE55">
        <v>1</v>
      </c>
      <c r="AF55">
        <v>0</v>
      </c>
      <c r="AG55">
        <v>0</v>
      </c>
      <c r="AH55" s="41">
        <v>3.0357142857100002E-4</v>
      </c>
      <c r="AI55" s="41">
        <v>3.0357142857100002E-4</v>
      </c>
      <c r="AJ55" s="53" t="e">
        <f>N55*#REF!/100</f>
        <v>#REF!</v>
      </c>
      <c r="AK55" s="43">
        <v>3.0357142857100002E-4</v>
      </c>
      <c r="AL55" s="43">
        <f t="shared" si="0"/>
        <v>1.7190756125040607E-4</v>
      </c>
      <c r="AM55" s="44"/>
      <c r="AN55" s="44"/>
      <c r="AO55" s="44"/>
      <c r="AP55" s="44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1"/>
      <c r="BC55" s="41"/>
      <c r="BD55" s="41"/>
      <c r="BE55" s="41"/>
      <c r="BF55" s="41"/>
      <c r="BG55" s="41"/>
      <c r="BH55" s="41"/>
      <c r="BI55" s="41"/>
      <c r="BJ55" s="46">
        <f>IFERROR(VLOOKUP(AP55,'Scoring and Weighting'!$B$10:$C$12,2,FALSE),'Scoring and Weighting'!$C$13)</f>
        <v>70</v>
      </c>
      <c r="BK55" s="46">
        <f>VLOOKUP(AL55,'Scoring and Weighting'!$C$19:$F$23,4)</f>
        <v>30</v>
      </c>
      <c r="BL55" s="47">
        <f t="shared" si="1"/>
        <v>40</v>
      </c>
      <c r="BM55" s="46" t="e">
        <f>VLOOKUP('Table with Jurisdictions'!AJ55,'Scoring and Weighting'!$C$35:$F$39,4,1)</f>
        <v>#REF!</v>
      </c>
      <c r="BN55" s="46">
        <f t="shared" si="2"/>
        <v>20</v>
      </c>
      <c r="BO55" s="48">
        <f>IFERROR(VLOOKUP(AM55,'Scoring and Weighting'!$B$63:$C$65,2,FALSE),1)</f>
        <v>1</v>
      </c>
      <c r="BP55" s="49">
        <f>BJ55*'Scoring and Weighting'!$C$55*'Table with Jurisdictions'!BO55</f>
        <v>17.5</v>
      </c>
      <c r="BQ55" s="49">
        <f>BK55*BO55*'Scoring and Weighting'!$C$56</f>
        <v>7.5</v>
      </c>
      <c r="BR55" s="49">
        <f>BO55*BL55*'Scoring and Weighting'!$C$57</f>
        <v>10</v>
      </c>
      <c r="BS55" s="49" t="e">
        <f>BO55*BM55*'Scoring and Weighting'!$C$58</f>
        <v>#REF!</v>
      </c>
      <c r="BT55" s="49">
        <f>BO55*BN55*'Scoring and Weighting'!$C$59</f>
        <v>3</v>
      </c>
      <c r="BU55" s="50" t="e">
        <f t="shared" si="5"/>
        <v>#REF!</v>
      </c>
      <c r="BX55" s="30">
        <f t="shared" si="8"/>
        <v>1</v>
      </c>
    </row>
    <row r="56" spans="1:76" x14ac:dyDescent="0.25">
      <c r="A56" s="35" t="s">
        <v>144</v>
      </c>
      <c r="B56" s="35">
        <v>42</v>
      </c>
      <c r="C56" s="75">
        <v>42578.902349537035</v>
      </c>
      <c r="D56" s="35" t="s">
        <v>394</v>
      </c>
      <c r="E56" s="35"/>
      <c r="F56" s="35"/>
      <c r="G56" s="35">
        <v>9215</v>
      </c>
      <c r="H56" s="35" t="s">
        <v>57</v>
      </c>
      <c r="I56" s="35">
        <v>1</v>
      </c>
      <c r="J56" s="35">
        <v>0</v>
      </c>
      <c r="K56" s="35" t="s">
        <v>51</v>
      </c>
      <c r="L56" s="35" t="s">
        <v>50</v>
      </c>
      <c r="M56" s="35" t="s">
        <v>450</v>
      </c>
      <c r="N56" s="30">
        <v>72.939063242515203</v>
      </c>
      <c r="O56">
        <f t="shared" si="3"/>
        <v>1</v>
      </c>
      <c r="P56" s="73">
        <f t="shared" si="7"/>
        <v>1</v>
      </c>
      <c r="Q56" s="73" t="str">
        <f>IF(P56&gt;1,"Multiple",VLOOKUP(O56,[1]Sheet1!$C$6:$D$17,2,0))</f>
        <v>Aliso Viejo</v>
      </c>
      <c r="R56" s="35">
        <v>100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>
        <v>0</v>
      </c>
      <c r="AE56">
        <v>0</v>
      </c>
      <c r="AF56">
        <v>0</v>
      </c>
      <c r="AG56">
        <v>0</v>
      </c>
      <c r="AH56" s="41">
        <v>0.255</v>
      </c>
      <c r="AI56" s="41">
        <v>0.255</v>
      </c>
      <c r="AJ56" s="53" t="e">
        <f>N56*#REF!/100</f>
        <v>#REF!</v>
      </c>
      <c r="AK56" s="43">
        <v>0.255</v>
      </c>
      <c r="AL56" s="43">
        <f t="shared" si="0"/>
        <v>0.14440235145054497</v>
      </c>
      <c r="AM56" s="44"/>
      <c r="AN56" s="44"/>
      <c r="AO56" s="44"/>
      <c r="AP56" s="44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1"/>
      <c r="BC56" s="41"/>
      <c r="BD56" s="41"/>
      <c r="BE56" s="41"/>
      <c r="BF56" s="41"/>
      <c r="BG56" s="41"/>
      <c r="BH56" s="41"/>
      <c r="BI56" s="41"/>
      <c r="BJ56" s="46">
        <f>IFERROR(VLOOKUP(AP56,'Scoring and Weighting'!$B$10:$C$12,2,FALSE),'Scoring and Weighting'!$C$13)</f>
        <v>70</v>
      </c>
      <c r="BK56" s="46">
        <f>VLOOKUP(AL56,'Scoring and Weighting'!$C$19:$F$23,4)</f>
        <v>90</v>
      </c>
      <c r="BL56" s="47">
        <f t="shared" si="1"/>
        <v>40</v>
      </c>
      <c r="BM56" s="46" t="e">
        <f>VLOOKUP('Table with Jurisdictions'!AJ56,'Scoring and Weighting'!$C$35:$F$39,4,1)</f>
        <v>#REF!</v>
      </c>
      <c r="BN56" s="46">
        <f t="shared" si="2"/>
        <v>20</v>
      </c>
      <c r="BO56" s="48">
        <f>IFERROR(VLOOKUP(AM56,'Scoring and Weighting'!$B$63:$C$65,2,FALSE),1)</f>
        <v>1</v>
      </c>
      <c r="BP56" s="49">
        <f>BJ56*'Scoring and Weighting'!$C$55*'Table with Jurisdictions'!BO56</f>
        <v>17.5</v>
      </c>
      <c r="BQ56" s="49">
        <f>BK56*BO56*'Scoring and Weighting'!$C$56</f>
        <v>22.5</v>
      </c>
      <c r="BR56" s="49">
        <f>BO56*BL56*'Scoring and Weighting'!$C$57</f>
        <v>10</v>
      </c>
      <c r="BS56" s="49" t="e">
        <f>BO56*BM56*'Scoring and Weighting'!$C$58</f>
        <v>#REF!</v>
      </c>
      <c r="BT56" s="49">
        <f>BO56*BN56*'Scoring and Weighting'!$C$59</f>
        <v>3</v>
      </c>
      <c r="BU56" s="50" t="e">
        <f t="shared" si="5"/>
        <v>#REF!</v>
      </c>
      <c r="BX56" s="30">
        <f t="shared" si="8"/>
        <v>1</v>
      </c>
    </row>
    <row r="57" spans="1:76" x14ac:dyDescent="0.25">
      <c r="A57" s="35" t="s">
        <v>153</v>
      </c>
      <c r="B57" s="35">
        <v>84</v>
      </c>
      <c r="C57" s="75">
        <v>42570.94771990741</v>
      </c>
      <c r="D57" s="35" t="s">
        <v>394</v>
      </c>
      <c r="E57" s="35"/>
      <c r="F57" s="35"/>
      <c r="G57" s="35">
        <v>9368</v>
      </c>
      <c r="H57" s="35" t="s">
        <v>57</v>
      </c>
      <c r="I57" s="35">
        <v>1</v>
      </c>
      <c r="J57" s="35">
        <v>0</v>
      </c>
      <c r="K57" s="35" t="s">
        <v>51</v>
      </c>
      <c r="L57" s="35" t="s">
        <v>50</v>
      </c>
      <c r="M57" s="35" t="s">
        <v>451</v>
      </c>
      <c r="N57" s="30">
        <v>211.57209036731101</v>
      </c>
      <c r="O57">
        <f t="shared" si="3"/>
        <v>1</v>
      </c>
      <c r="P57" s="73">
        <f t="shared" si="7"/>
        <v>1</v>
      </c>
      <c r="Q57" s="73" t="str">
        <f>IF(P57&gt;1,"Multiple",VLOOKUP(O57,[1]Sheet1!$C$6:$D$17,2,0))</f>
        <v>Aliso Viejo</v>
      </c>
      <c r="R57" s="35">
        <v>100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>
        <v>0</v>
      </c>
      <c r="AE57">
        <v>0</v>
      </c>
      <c r="AF57">
        <v>0</v>
      </c>
      <c r="AG57">
        <v>0</v>
      </c>
      <c r="AH57" s="41">
        <v>5.0999999999999997E-2</v>
      </c>
      <c r="AI57" s="41">
        <v>5.0999999999999997E-2</v>
      </c>
      <c r="AJ57" s="53" t="e">
        <f>N57*#REF!/100</f>
        <v>#REF!</v>
      </c>
      <c r="AK57" s="43">
        <v>5.0999999999999997E-2</v>
      </c>
      <c r="AL57" s="43">
        <f t="shared" si="0"/>
        <v>2.8880470290108991E-2</v>
      </c>
      <c r="AM57" s="44"/>
      <c r="AN57" s="44"/>
      <c r="AO57" s="44"/>
      <c r="AP57" s="44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1"/>
      <c r="BC57" s="41"/>
      <c r="BD57" s="41"/>
      <c r="BE57" s="41"/>
      <c r="BF57" s="41"/>
      <c r="BG57" s="41"/>
      <c r="BH57" s="41"/>
      <c r="BI57" s="41"/>
      <c r="BJ57" s="46">
        <f>IFERROR(VLOOKUP(AP57,'Scoring and Weighting'!$B$10:$C$12,2,FALSE),'Scoring and Weighting'!$C$13)</f>
        <v>70</v>
      </c>
      <c r="BK57" s="46">
        <f>VLOOKUP(AL57,'Scoring and Weighting'!$C$19:$F$23,4)</f>
        <v>50</v>
      </c>
      <c r="BL57" s="47">
        <f t="shared" si="1"/>
        <v>40</v>
      </c>
      <c r="BM57" s="46" t="e">
        <f>VLOOKUP('Table with Jurisdictions'!AJ57,'Scoring and Weighting'!$C$35:$F$39,4,1)</f>
        <v>#REF!</v>
      </c>
      <c r="BN57" s="46">
        <f t="shared" si="2"/>
        <v>20</v>
      </c>
      <c r="BO57" s="48">
        <f>IFERROR(VLOOKUP(AM57,'Scoring and Weighting'!$B$63:$C$65,2,FALSE),1)</f>
        <v>1</v>
      </c>
      <c r="BP57" s="49">
        <f>BJ57*'Scoring and Weighting'!$C$55*'Table with Jurisdictions'!BO57</f>
        <v>17.5</v>
      </c>
      <c r="BQ57" s="49">
        <f>BK57*BO57*'Scoring and Weighting'!$C$56</f>
        <v>12.5</v>
      </c>
      <c r="BR57" s="49">
        <f>BO57*BL57*'Scoring and Weighting'!$C$57</f>
        <v>10</v>
      </c>
      <c r="BS57" s="49" t="e">
        <f>BO57*BM57*'Scoring and Weighting'!$C$58</f>
        <v>#REF!</v>
      </c>
      <c r="BT57" s="49">
        <f>BO57*BN57*'Scoring and Weighting'!$C$59</f>
        <v>3</v>
      </c>
      <c r="BU57" s="50" t="e">
        <f t="shared" si="5"/>
        <v>#REF!</v>
      </c>
      <c r="BX57" s="30">
        <f t="shared" si="8"/>
        <v>1</v>
      </c>
    </row>
    <row r="58" spans="1:76" x14ac:dyDescent="0.25">
      <c r="A58" s="35" t="s">
        <v>152</v>
      </c>
      <c r="B58" s="35">
        <v>24</v>
      </c>
      <c r="C58" s="75">
        <v>42570.94771990741</v>
      </c>
      <c r="D58" s="35" t="s">
        <v>394</v>
      </c>
      <c r="E58" s="35"/>
      <c r="F58" s="35"/>
      <c r="G58" s="35">
        <v>9313</v>
      </c>
      <c r="H58" s="35" t="s">
        <v>49</v>
      </c>
      <c r="I58" s="35">
        <v>1</v>
      </c>
      <c r="J58" s="35">
        <v>0</v>
      </c>
      <c r="K58" s="35" t="s">
        <v>51</v>
      </c>
      <c r="L58" s="35" t="s">
        <v>50</v>
      </c>
      <c r="M58" s="35" t="s">
        <v>452</v>
      </c>
      <c r="N58" s="30">
        <v>65.720770780448206</v>
      </c>
      <c r="O58">
        <f t="shared" si="3"/>
        <v>7</v>
      </c>
      <c r="P58" s="73">
        <f t="shared" si="7"/>
        <v>1</v>
      </c>
      <c r="Q58" s="73" t="str">
        <f>IF(P58&gt;1,"Multiple",VLOOKUP(O58,[1]Sheet1!$C$6:$D$17,2,0))</f>
        <v>Lake Forest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100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>
        <v>0</v>
      </c>
      <c r="AE58">
        <v>0</v>
      </c>
      <c r="AF58">
        <v>0</v>
      </c>
      <c r="AG58">
        <v>0</v>
      </c>
      <c r="AH58" s="41">
        <v>6.3749999999999996E-3</v>
      </c>
      <c r="AI58" s="41">
        <v>6.3749999999999996E-3</v>
      </c>
      <c r="AJ58" s="53" t="e">
        <f>N58*#REF!/100</f>
        <v>#REF!</v>
      </c>
      <c r="AK58" s="43">
        <v>6.3749999999999996E-3</v>
      </c>
      <c r="AL58" s="43">
        <f t="shared" si="0"/>
        <v>3.6100587862636238E-3</v>
      </c>
      <c r="AM58" s="44"/>
      <c r="AN58" s="44"/>
      <c r="AO58" s="44"/>
      <c r="AP58" s="44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1"/>
      <c r="BC58" s="41"/>
      <c r="BD58" s="41"/>
      <c r="BE58" s="41"/>
      <c r="BF58" s="41"/>
      <c r="BG58" s="41"/>
      <c r="BH58" s="41"/>
      <c r="BI58" s="41"/>
      <c r="BJ58" s="46">
        <f>IFERROR(VLOOKUP(AP58,'Scoring and Weighting'!$B$10:$C$12,2,FALSE),'Scoring and Weighting'!$C$13)</f>
        <v>70</v>
      </c>
      <c r="BK58" s="46">
        <f>VLOOKUP(AL58,'Scoring and Weighting'!$C$19:$F$23,4)</f>
        <v>30</v>
      </c>
      <c r="BL58" s="47">
        <f t="shared" si="1"/>
        <v>40</v>
      </c>
      <c r="BM58" s="46" t="e">
        <f>VLOOKUP('Table with Jurisdictions'!AJ58,'Scoring and Weighting'!$C$35:$F$39,4,1)</f>
        <v>#REF!</v>
      </c>
      <c r="BN58" s="46">
        <f t="shared" si="2"/>
        <v>20</v>
      </c>
      <c r="BO58" s="48">
        <f>IFERROR(VLOOKUP(AM58,'Scoring and Weighting'!$B$63:$C$65,2,FALSE),1)</f>
        <v>1</v>
      </c>
      <c r="BP58" s="49">
        <f>BJ58*'Scoring and Weighting'!$C$55*'Table with Jurisdictions'!BO58</f>
        <v>17.5</v>
      </c>
      <c r="BQ58" s="49">
        <f>BK58*BO58*'Scoring and Weighting'!$C$56</f>
        <v>7.5</v>
      </c>
      <c r="BR58" s="49">
        <f>BO58*BL58*'Scoring and Weighting'!$C$57</f>
        <v>10</v>
      </c>
      <c r="BS58" s="49" t="e">
        <f>BO58*BM58*'Scoring and Weighting'!$C$58</f>
        <v>#REF!</v>
      </c>
      <c r="BT58" s="49">
        <f>BO58*BN58*'Scoring and Weighting'!$C$59</f>
        <v>3</v>
      </c>
      <c r="BU58" s="50" t="e">
        <f t="shared" si="5"/>
        <v>#REF!</v>
      </c>
      <c r="BX58" s="30">
        <f t="shared" si="8"/>
        <v>7</v>
      </c>
    </row>
    <row r="59" spans="1:76" x14ac:dyDescent="0.25">
      <c r="A59" s="35" t="s">
        <v>163</v>
      </c>
      <c r="B59" s="35">
        <v>36</v>
      </c>
      <c r="C59" s="75">
        <v>42570.947731481479</v>
      </c>
      <c r="D59" s="35" t="s">
        <v>394</v>
      </c>
      <c r="E59" s="35"/>
      <c r="F59" s="35"/>
      <c r="G59" s="35">
        <v>11343</v>
      </c>
      <c r="H59" s="35" t="s">
        <v>175</v>
      </c>
      <c r="I59" s="35">
        <v>1</v>
      </c>
      <c r="J59" s="35">
        <v>0</v>
      </c>
      <c r="K59" s="35" t="s">
        <v>51</v>
      </c>
      <c r="L59" s="35" t="s">
        <v>50</v>
      </c>
      <c r="M59" s="35" t="s">
        <v>453</v>
      </c>
      <c r="N59" s="30">
        <v>82.121706347250907</v>
      </c>
      <c r="O59">
        <f t="shared" si="3"/>
        <v>8</v>
      </c>
      <c r="P59" s="73">
        <f t="shared" si="7"/>
        <v>1</v>
      </c>
      <c r="Q59" s="73" t="str">
        <f>IF(P59&gt;1,"Multiple",VLOOKUP(O59,[1]Sheet1!$C$6:$D$17,2,0))</f>
        <v>Mission Viejo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3</v>
      </c>
      <c r="Y59" s="35">
        <v>97</v>
      </c>
      <c r="Z59" s="35">
        <v>0</v>
      </c>
      <c r="AA59" s="35">
        <v>0</v>
      </c>
      <c r="AB59" s="35">
        <v>0</v>
      </c>
      <c r="AC59" s="35">
        <v>0</v>
      </c>
      <c r="AD59">
        <v>0</v>
      </c>
      <c r="AE59">
        <v>0</v>
      </c>
      <c r="AF59">
        <v>0</v>
      </c>
      <c r="AG59">
        <v>0</v>
      </c>
      <c r="AH59" s="41">
        <v>1.0200000000000001E-2</v>
      </c>
      <c r="AI59" s="41">
        <v>2.2950000000000002E-2</v>
      </c>
      <c r="AJ59" s="53" t="e">
        <f>N59*#REF!/100</f>
        <v>#REF!</v>
      </c>
      <c r="AK59" s="43">
        <v>1.6574999999999999E-2</v>
      </c>
      <c r="AL59" s="43">
        <f t="shared" si="0"/>
        <v>9.3861528442854229E-3</v>
      </c>
      <c r="AM59" s="44" t="s">
        <v>52</v>
      </c>
      <c r="AN59" s="44"/>
      <c r="AO59" s="44" t="s">
        <v>53</v>
      </c>
      <c r="AP59" s="44" t="s">
        <v>54</v>
      </c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1"/>
      <c r="BC59" s="41"/>
      <c r="BD59" s="41"/>
      <c r="BE59" s="41"/>
      <c r="BF59" s="41"/>
      <c r="BG59" s="41"/>
      <c r="BH59" s="41"/>
      <c r="BI59" s="41"/>
      <c r="BJ59" s="46">
        <f>IFERROR(VLOOKUP(AP59,'Scoring and Weighting'!$B$10:$C$12,2,FALSE),'Scoring and Weighting'!$C$13)</f>
        <v>100</v>
      </c>
      <c r="BK59" s="46">
        <f>VLOOKUP(AL59,'Scoring and Weighting'!$C$19:$F$23,4)</f>
        <v>30</v>
      </c>
      <c r="BL59" s="47">
        <f t="shared" si="1"/>
        <v>40</v>
      </c>
      <c r="BM59" s="46" t="e">
        <f>VLOOKUP('Table with Jurisdictions'!AJ59,'Scoring and Weighting'!$C$35:$F$39,4,1)</f>
        <v>#REF!</v>
      </c>
      <c r="BN59" s="46">
        <f t="shared" si="2"/>
        <v>20</v>
      </c>
      <c r="BO59" s="48">
        <f>IFERROR(VLOOKUP(AM59,'Scoring and Weighting'!$B$63:$C$65,2,FALSE),1)</f>
        <v>1</v>
      </c>
      <c r="BP59" s="49">
        <f>BJ59*'Scoring and Weighting'!$C$55*'Table with Jurisdictions'!BO59</f>
        <v>25</v>
      </c>
      <c r="BQ59" s="49">
        <f>BK59*BO59*'Scoring and Weighting'!$C$56</f>
        <v>7.5</v>
      </c>
      <c r="BR59" s="49">
        <f>BO59*BL59*'Scoring and Weighting'!$C$57</f>
        <v>10</v>
      </c>
      <c r="BS59" s="49" t="e">
        <f>BO59*BM59*'Scoring and Weighting'!$C$58</f>
        <v>#REF!</v>
      </c>
      <c r="BT59" s="49">
        <f>BO59*BN59*'Scoring and Weighting'!$C$59</f>
        <v>3</v>
      </c>
      <c r="BU59" s="50" t="e">
        <f t="shared" si="5"/>
        <v>#REF!</v>
      </c>
      <c r="BX59" s="30">
        <f t="shared" si="8"/>
        <v>8</v>
      </c>
    </row>
    <row r="60" spans="1:76" x14ac:dyDescent="0.25">
      <c r="A60" s="35" t="s">
        <v>256</v>
      </c>
      <c r="B60" s="35">
        <v>48</v>
      </c>
      <c r="C60" s="75">
        <v>42570.947731481479</v>
      </c>
      <c r="D60" s="35" t="s">
        <v>394</v>
      </c>
      <c r="E60" s="35"/>
      <c r="F60" s="35"/>
      <c r="G60" s="35">
        <v>11468</v>
      </c>
      <c r="H60" s="35" t="s">
        <v>177</v>
      </c>
      <c r="I60" s="35">
        <v>1</v>
      </c>
      <c r="J60" s="35">
        <v>0</v>
      </c>
      <c r="K60" s="35" t="s">
        <v>51</v>
      </c>
      <c r="L60" s="35" t="s">
        <v>50</v>
      </c>
      <c r="M60" s="35" t="s">
        <v>454</v>
      </c>
      <c r="N60" s="30">
        <v>124.660760655133</v>
      </c>
      <c r="O60">
        <f t="shared" si="3"/>
        <v>1</v>
      </c>
      <c r="P60" s="73">
        <f t="shared" si="7"/>
        <v>1</v>
      </c>
      <c r="Q60" s="73" t="str">
        <f>IF(P60&gt;1,"Multiple",VLOOKUP(O60,[1]Sheet1!$C$6:$D$17,2,0))</f>
        <v>Aliso Viejo</v>
      </c>
      <c r="R60" s="35">
        <v>98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2</v>
      </c>
      <c r="AA60" s="35">
        <v>0</v>
      </c>
      <c r="AB60" s="35">
        <v>0</v>
      </c>
      <c r="AC60" s="35">
        <v>0</v>
      </c>
      <c r="AD60">
        <v>0</v>
      </c>
      <c r="AE60">
        <v>0</v>
      </c>
      <c r="AF60">
        <v>0</v>
      </c>
      <c r="AG60">
        <v>0</v>
      </c>
      <c r="AH60" s="41">
        <v>1.6757142857143002E-2</v>
      </c>
      <c r="AI60" s="41">
        <v>1.6757142857143002E-2</v>
      </c>
      <c r="AJ60" s="53" t="e">
        <f>N60*#REF!/100</f>
        <v>#REF!</v>
      </c>
      <c r="AK60" s="43">
        <v>1.6757142857143002E-2</v>
      </c>
      <c r="AL60" s="43">
        <f t="shared" si="0"/>
        <v>9.4892973810358945E-3</v>
      </c>
      <c r="AM60" s="44"/>
      <c r="AN60" s="44"/>
      <c r="AO60" s="44"/>
      <c r="AP60" s="44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1"/>
      <c r="BC60" s="41"/>
      <c r="BD60" s="41"/>
      <c r="BE60" s="41"/>
      <c r="BF60" s="41"/>
      <c r="BG60" s="41"/>
      <c r="BH60" s="41"/>
      <c r="BI60" s="41"/>
      <c r="BJ60" s="46">
        <f>IFERROR(VLOOKUP(AP60,'Scoring and Weighting'!$B$10:$C$12,2,FALSE),'Scoring and Weighting'!$C$13)</f>
        <v>70</v>
      </c>
      <c r="BK60" s="46">
        <f>VLOOKUP(AL60,'Scoring and Weighting'!$C$19:$F$23,4)</f>
        <v>30</v>
      </c>
      <c r="BL60" s="47">
        <f t="shared" si="1"/>
        <v>40</v>
      </c>
      <c r="BM60" s="46" t="e">
        <f>VLOOKUP('Table with Jurisdictions'!AJ60,'Scoring and Weighting'!$C$35:$F$39,4,1)</f>
        <v>#REF!</v>
      </c>
      <c r="BN60" s="46">
        <f t="shared" si="2"/>
        <v>20</v>
      </c>
      <c r="BO60" s="48">
        <f>IFERROR(VLOOKUP(AM60,'Scoring and Weighting'!$B$63:$C$65,2,FALSE),1)</f>
        <v>1</v>
      </c>
      <c r="BP60" s="49">
        <f>BJ60*'Scoring and Weighting'!$C$55*'Table with Jurisdictions'!BO60</f>
        <v>17.5</v>
      </c>
      <c r="BQ60" s="49">
        <f>BK60*BO60*'Scoring and Weighting'!$C$56</f>
        <v>7.5</v>
      </c>
      <c r="BR60" s="49">
        <f>BO60*BL60*'Scoring and Weighting'!$C$57</f>
        <v>10</v>
      </c>
      <c r="BS60" s="49" t="e">
        <f>BO60*BM60*'Scoring and Weighting'!$C$58</f>
        <v>#REF!</v>
      </c>
      <c r="BT60" s="49">
        <f>BO60*BN60*'Scoring and Weighting'!$C$59</f>
        <v>3</v>
      </c>
      <c r="BU60" s="50" t="e">
        <f t="shared" si="5"/>
        <v>#REF!</v>
      </c>
      <c r="BX60" s="30">
        <f t="shared" si="8"/>
        <v>1</v>
      </c>
    </row>
    <row r="61" spans="1:76" x14ac:dyDescent="0.25">
      <c r="A61" s="35" t="s">
        <v>142</v>
      </c>
      <c r="B61" s="35">
        <v>96</v>
      </c>
      <c r="C61" s="75">
        <v>42570.947731481479</v>
      </c>
      <c r="D61" s="35" t="s">
        <v>394</v>
      </c>
      <c r="E61" s="35"/>
      <c r="F61" s="35"/>
      <c r="G61" s="35">
        <v>66</v>
      </c>
      <c r="H61" s="35" t="s">
        <v>182</v>
      </c>
      <c r="I61" s="35">
        <v>1</v>
      </c>
      <c r="J61" s="35">
        <v>0</v>
      </c>
      <c r="K61" s="35" t="s">
        <v>51</v>
      </c>
      <c r="L61" s="35" t="s">
        <v>50</v>
      </c>
      <c r="M61" s="35" t="s">
        <v>455</v>
      </c>
      <c r="N61" s="30">
        <v>286.38606853925103</v>
      </c>
      <c r="O61">
        <f t="shared" si="3"/>
        <v>1</v>
      </c>
      <c r="P61" s="73">
        <f t="shared" si="7"/>
        <v>1</v>
      </c>
      <c r="Q61" s="73" t="str">
        <f>IF(P61&gt;1,"Multiple",VLOOKUP(O61,[1]Sheet1!$C$6:$D$17,2,0))</f>
        <v>Aliso Viejo</v>
      </c>
      <c r="R61" s="35">
        <v>100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>
        <v>100</v>
      </c>
      <c r="AE61">
        <v>0</v>
      </c>
      <c r="AF61">
        <v>0</v>
      </c>
      <c r="AG61">
        <v>62</v>
      </c>
      <c r="AH61" s="41">
        <v>2.5500000000000002E-3</v>
      </c>
      <c r="AI61" s="41">
        <v>2.5500000000000002E-3</v>
      </c>
      <c r="AJ61" s="53" t="e">
        <f>N61*#REF!/100</f>
        <v>#REF!</v>
      </c>
      <c r="AK61" s="43">
        <v>2.5500000000000002E-3</v>
      </c>
      <c r="AL61" s="43">
        <f t="shared" si="0"/>
        <v>1.44402351450545E-3</v>
      </c>
      <c r="AM61" s="44"/>
      <c r="AN61" s="44"/>
      <c r="AO61" s="44"/>
      <c r="AP61" s="44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1"/>
      <c r="BC61" s="41"/>
      <c r="BD61" s="41"/>
      <c r="BE61" s="41"/>
      <c r="BF61" s="41"/>
      <c r="BG61" s="41"/>
      <c r="BH61" s="41"/>
      <c r="BI61" s="41"/>
      <c r="BJ61" s="46">
        <f>IFERROR(VLOOKUP(AP61,'Scoring and Weighting'!$B$10:$C$12,2,FALSE),'Scoring and Weighting'!$C$13)</f>
        <v>70</v>
      </c>
      <c r="BK61" s="46">
        <f>VLOOKUP(AL61,'Scoring and Weighting'!$C$19:$F$23,4)</f>
        <v>30</v>
      </c>
      <c r="BL61" s="47">
        <f t="shared" si="1"/>
        <v>40</v>
      </c>
      <c r="BM61" s="46" t="e">
        <f>VLOOKUP('Table with Jurisdictions'!AJ61,'Scoring and Weighting'!$C$35:$F$39,4,1)</f>
        <v>#REF!</v>
      </c>
      <c r="BN61" s="46">
        <f t="shared" si="2"/>
        <v>40</v>
      </c>
      <c r="BO61" s="48">
        <f>IFERROR(VLOOKUP(AM61,'Scoring and Weighting'!$B$63:$C$65,2,FALSE),1)</f>
        <v>1</v>
      </c>
      <c r="BP61" s="49">
        <f>BJ61*'Scoring and Weighting'!$C$55*'Table with Jurisdictions'!BO61</f>
        <v>17.5</v>
      </c>
      <c r="BQ61" s="49">
        <f>BK61*BO61*'Scoring and Weighting'!$C$56</f>
        <v>7.5</v>
      </c>
      <c r="BR61" s="49">
        <f>BO61*BL61*'Scoring and Weighting'!$C$57</f>
        <v>10</v>
      </c>
      <c r="BS61" s="49" t="e">
        <f>BO61*BM61*'Scoring and Weighting'!$C$58</f>
        <v>#REF!</v>
      </c>
      <c r="BT61" s="49">
        <f>BO61*BN61*'Scoring and Weighting'!$C$59</f>
        <v>6</v>
      </c>
      <c r="BU61" s="50" t="e">
        <f t="shared" si="5"/>
        <v>#REF!</v>
      </c>
      <c r="BX61" s="30">
        <f t="shared" si="8"/>
        <v>1</v>
      </c>
    </row>
    <row r="62" spans="1:76" x14ac:dyDescent="0.25">
      <c r="A62" s="35" t="s">
        <v>161</v>
      </c>
      <c r="B62" s="35">
        <v>96</v>
      </c>
      <c r="C62" s="75">
        <v>42578.904560185183</v>
      </c>
      <c r="D62" s="35" t="s">
        <v>394</v>
      </c>
      <c r="E62" s="35"/>
      <c r="F62" s="35"/>
      <c r="G62" s="35">
        <v>42</v>
      </c>
      <c r="H62" s="35" t="s">
        <v>185</v>
      </c>
      <c r="I62" s="35">
        <v>1</v>
      </c>
      <c r="J62" s="35">
        <v>0</v>
      </c>
      <c r="K62" s="35" t="s">
        <v>51</v>
      </c>
      <c r="L62" s="35" t="s">
        <v>50</v>
      </c>
      <c r="M62" s="35" t="s">
        <v>456</v>
      </c>
      <c r="N62" s="30">
        <v>175.45178483561901</v>
      </c>
      <c r="O62">
        <f t="shared" si="3"/>
        <v>1</v>
      </c>
      <c r="P62" s="73">
        <f t="shared" si="7"/>
        <v>1</v>
      </c>
      <c r="Q62" s="73" t="str">
        <f>IF(P62&gt;1,"Multiple",VLOOKUP(O62,[1]Sheet1!$C$6:$D$17,2,0))</f>
        <v>Aliso Viejo</v>
      </c>
      <c r="R62" s="35">
        <v>100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>
        <v>100</v>
      </c>
      <c r="AE62">
        <v>0</v>
      </c>
      <c r="AF62">
        <v>0</v>
      </c>
      <c r="AG62">
        <v>100</v>
      </c>
      <c r="AH62" s="41">
        <v>1.1333333333329999E-3</v>
      </c>
      <c r="AI62" s="41">
        <v>1.1333333333329999E-3</v>
      </c>
      <c r="AJ62" s="53" t="e">
        <f>N62*#REF!/100</f>
        <v>#REF!</v>
      </c>
      <c r="AK62" s="43">
        <v>1.1333333333329999E-3</v>
      </c>
      <c r="AL62" s="43">
        <f t="shared" si="0"/>
        <v>6.4178822866889991E-4</v>
      </c>
      <c r="AM62" s="44"/>
      <c r="AN62" s="44"/>
      <c r="AO62" s="44"/>
      <c r="AP62" s="44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1"/>
      <c r="BC62" s="41"/>
      <c r="BD62" s="41"/>
      <c r="BE62" s="41"/>
      <c r="BF62" s="41"/>
      <c r="BG62" s="41"/>
      <c r="BH62" s="41"/>
      <c r="BI62" s="41"/>
      <c r="BJ62" s="46">
        <f>IFERROR(VLOOKUP(AP62,'Scoring and Weighting'!$B$10:$C$12,2,FALSE),'Scoring and Weighting'!$C$13)</f>
        <v>70</v>
      </c>
      <c r="BK62" s="46">
        <f>VLOOKUP(AL62,'Scoring and Weighting'!$C$19:$F$23,4)</f>
        <v>30</v>
      </c>
      <c r="BL62" s="47">
        <f t="shared" si="1"/>
        <v>40</v>
      </c>
      <c r="BM62" s="46" t="e">
        <f>VLOOKUP('Table with Jurisdictions'!AJ62,'Scoring and Weighting'!$C$35:$F$39,4,1)</f>
        <v>#REF!</v>
      </c>
      <c r="BN62" s="46">
        <f t="shared" si="2"/>
        <v>40</v>
      </c>
      <c r="BO62" s="48">
        <f>IFERROR(VLOOKUP(AM62,'Scoring and Weighting'!$B$63:$C$65,2,FALSE),1)</f>
        <v>1</v>
      </c>
      <c r="BP62" s="49">
        <f>BJ62*'Scoring and Weighting'!$C$55*'Table with Jurisdictions'!BO62</f>
        <v>17.5</v>
      </c>
      <c r="BQ62" s="49">
        <f>BK62*BO62*'Scoring and Weighting'!$C$56</f>
        <v>7.5</v>
      </c>
      <c r="BR62" s="49">
        <f>BO62*BL62*'Scoring and Weighting'!$C$57</f>
        <v>10</v>
      </c>
      <c r="BS62" s="49" t="e">
        <f>BO62*BM62*'Scoring and Weighting'!$C$58</f>
        <v>#REF!</v>
      </c>
      <c r="BT62" s="49">
        <f>BO62*BN62*'Scoring and Weighting'!$C$59</f>
        <v>6</v>
      </c>
      <c r="BU62" s="50" t="e">
        <f t="shared" si="5"/>
        <v>#REF!</v>
      </c>
      <c r="BX62" s="30">
        <f t="shared" si="8"/>
        <v>1</v>
      </c>
    </row>
    <row r="63" spans="1:76" x14ac:dyDescent="0.25">
      <c r="A63" s="35" t="s">
        <v>138</v>
      </c>
      <c r="B63" s="35">
        <v>78</v>
      </c>
      <c r="C63" s="75">
        <v>42570.947731481479</v>
      </c>
      <c r="D63" s="35" t="s">
        <v>394</v>
      </c>
      <c r="E63" s="35"/>
      <c r="F63" s="35"/>
      <c r="G63" s="35">
        <v>749</v>
      </c>
      <c r="H63" s="35" t="s">
        <v>95</v>
      </c>
      <c r="I63" s="35">
        <v>1</v>
      </c>
      <c r="J63" s="35">
        <v>0</v>
      </c>
      <c r="K63" s="35" t="s">
        <v>51</v>
      </c>
      <c r="L63" s="35" t="s">
        <v>50</v>
      </c>
      <c r="M63" s="35" t="s">
        <v>457</v>
      </c>
      <c r="N63" s="30">
        <v>193.49295990548299</v>
      </c>
      <c r="O63">
        <f t="shared" si="3"/>
        <v>1</v>
      </c>
      <c r="P63" s="73">
        <f t="shared" si="7"/>
        <v>1</v>
      </c>
      <c r="Q63" s="73" t="str">
        <f>IF(P63&gt;1,"Multiple",VLOOKUP(O63,[1]Sheet1!$C$6:$D$17,2,0))</f>
        <v>Aliso Viejo</v>
      </c>
      <c r="R63" s="35">
        <v>100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>
        <v>100</v>
      </c>
      <c r="AE63">
        <v>0</v>
      </c>
      <c r="AF63">
        <v>0</v>
      </c>
      <c r="AG63">
        <v>0</v>
      </c>
      <c r="AH63" s="41">
        <v>5.7375000000000004E-3</v>
      </c>
      <c r="AI63" s="41">
        <v>1.59375E-2</v>
      </c>
      <c r="AJ63" s="53" t="e">
        <f>N63*#REF!/100</f>
        <v>#REF!</v>
      </c>
      <c r="AK63" s="43">
        <v>1.08375E-2</v>
      </c>
      <c r="AL63" s="43">
        <f t="shared" si="0"/>
        <v>6.137099936648161E-3</v>
      </c>
      <c r="AM63" s="44"/>
      <c r="AN63" s="44"/>
      <c r="AO63" s="44"/>
      <c r="AP63" s="44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1"/>
      <c r="BC63" s="41"/>
      <c r="BD63" s="41"/>
      <c r="BE63" s="41"/>
      <c r="BF63" s="41"/>
      <c r="BG63" s="41"/>
      <c r="BH63" s="41"/>
      <c r="BI63" s="41"/>
      <c r="BJ63" s="46">
        <f>IFERROR(VLOOKUP(AP63,'Scoring and Weighting'!$B$10:$C$12,2,FALSE),'Scoring and Weighting'!$C$13)</f>
        <v>70</v>
      </c>
      <c r="BK63" s="46">
        <f>VLOOKUP(AL63,'Scoring and Weighting'!$C$19:$F$23,4)</f>
        <v>30</v>
      </c>
      <c r="BL63" s="47">
        <f t="shared" si="1"/>
        <v>40</v>
      </c>
      <c r="BM63" s="46" t="e">
        <f>VLOOKUP('Table with Jurisdictions'!AJ63,'Scoring and Weighting'!$C$35:$F$39,4,1)</f>
        <v>#REF!</v>
      </c>
      <c r="BN63" s="46">
        <f t="shared" si="2"/>
        <v>40</v>
      </c>
      <c r="BO63" s="48">
        <f>IFERROR(VLOOKUP(AM63,'Scoring and Weighting'!$B$63:$C$65,2,FALSE),1)</f>
        <v>1</v>
      </c>
      <c r="BP63" s="49">
        <f>BJ63*'Scoring and Weighting'!$C$55*'Table with Jurisdictions'!BO63</f>
        <v>17.5</v>
      </c>
      <c r="BQ63" s="49">
        <f>BK63*BO63*'Scoring and Weighting'!$C$56</f>
        <v>7.5</v>
      </c>
      <c r="BR63" s="49">
        <f>BO63*BL63*'Scoring and Weighting'!$C$57</f>
        <v>10</v>
      </c>
      <c r="BS63" s="49" t="e">
        <f>BO63*BM63*'Scoring and Weighting'!$C$58</f>
        <v>#REF!</v>
      </c>
      <c r="BT63" s="49">
        <f>BO63*BN63*'Scoring and Weighting'!$C$59</f>
        <v>6</v>
      </c>
      <c r="BU63" s="50" t="e">
        <f t="shared" si="5"/>
        <v>#REF!</v>
      </c>
      <c r="BX63" s="30">
        <f t="shared" si="8"/>
        <v>1</v>
      </c>
    </row>
    <row r="64" spans="1:76" x14ac:dyDescent="0.25">
      <c r="A64" s="35" t="s">
        <v>173</v>
      </c>
      <c r="B64" s="35">
        <v>54</v>
      </c>
      <c r="C64" s="75">
        <v>42570.947731481479</v>
      </c>
      <c r="D64" s="35" t="s">
        <v>394</v>
      </c>
      <c r="E64" s="35">
        <v>53</v>
      </c>
      <c r="F64" s="35">
        <v>120</v>
      </c>
      <c r="G64" s="35">
        <v>618</v>
      </c>
      <c r="H64" s="35" t="s">
        <v>95</v>
      </c>
      <c r="I64" s="35">
        <v>1</v>
      </c>
      <c r="J64" s="35">
        <v>1</v>
      </c>
      <c r="K64" s="35" t="s">
        <v>51</v>
      </c>
      <c r="L64" s="35" t="s">
        <v>50</v>
      </c>
      <c r="M64" s="35" t="s">
        <v>458</v>
      </c>
      <c r="N64" s="30">
        <v>137.37665274898299</v>
      </c>
      <c r="O64">
        <f t="shared" si="3"/>
        <v>1</v>
      </c>
      <c r="P64" s="73">
        <f t="shared" si="7"/>
        <v>1</v>
      </c>
      <c r="Q64" s="73" t="str">
        <f>IF(P64&gt;1,"Multiple",VLOOKUP(O64,[1]Sheet1!$C$6:$D$17,2,0))</f>
        <v>Aliso Viejo</v>
      </c>
      <c r="R64" s="35">
        <v>99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1</v>
      </c>
      <c r="AA64" s="35">
        <v>0</v>
      </c>
      <c r="AB64" s="35">
        <v>0</v>
      </c>
      <c r="AC64" s="35">
        <v>0</v>
      </c>
      <c r="AD64">
        <v>0</v>
      </c>
      <c r="AE64">
        <v>100</v>
      </c>
      <c r="AF64">
        <v>0</v>
      </c>
      <c r="AG64">
        <v>0</v>
      </c>
      <c r="AH64" s="41">
        <v>1.2749999999999999E-2</v>
      </c>
      <c r="AI64" s="41">
        <v>1.2749999999999999E-2</v>
      </c>
      <c r="AJ64" s="53" t="e">
        <f>N64*#REF!/100</f>
        <v>#REF!</v>
      </c>
      <c r="AK64" s="43">
        <v>1.2749999999999999E-2</v>
      </c>
      <c r="AL64" s="43">
        <f t="shared" si="0"/>
        <v>7.2201175725272477E-3</v>
      </c>
      <c r="AM64" s="44"/>
      <c r="AN64" s="44"/>
      <c r="AO64" s="44"/>
      <c r="AP64" s="44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1"/>
      <c r="BC64" s="41"/>
      <c r="BD64" s="41"/>
      <c r="BE64" s="41"/>
      <c r="BF64" s="41"/>
      <c r="BG64" s="41"/>
      <c r="BH64" s="41"/>
      <c r="BI64" s="41"/>
      <c r="BJ64" s="46">
        <f>IFERROR(VLOOKUP(AP64,'Scoring and Weighting'!$B$10:$C$12,2,FALSE),'Scoring and Weighting'!$C$13)</f>
        <v>70</v>
      </c>
      <c r="BK64" s="46">
        <f>VLOOKUP(AL64,'Scoring and Weighting'!$C$19:$F$23,4)</f>
        <v>30</v>
      </c>
      <c r="BL64" s="47">
        <f t="shared" si="1"/>
        <v>40</v>
      </c>
      <c r="BM64" s="46" t="e">
        <f>VLOOKUP('Table with Jurisdictions'!AJ64,'Scoring and Weighting'!$C$35:$F$39,4,1)</f>
        <v>#REF!</v>
      </c>
      <c r="BN64" s="46">
        <f t="shared" si="2"/>
        <v>20</v>
      </c>
      <c r="BO64" s="48">
        <f>IFERROR(VLOOKUP(AM64,'Scoring and Weighting'!$B$63:$C$65,2,FALSE),1)</f>
        <v>1</v>
      </c>
      <c r="BP64" s="49">
        <f>BJ64*'Scoring and Weighting'!$C$55*'Table with Jurisdictions'!BO64</f>
        <v>17.5</v>
      </c>
      <c r="BQ64" s="49">
        <f>BK64*BO64*'Scoring and Weighting'!$C$56</f>
        <v>7.5</v>
      </c>
      <c r="BR64" s="49">
        <f>BO64*BL64*'Scoring and Weighting'!$C$57</f>
        <v>10</v>
      </c>
      <c r="BS64" s="49" t="e">
        <f>BO64*BM64*'Scoring and Weighting'!$C$58</f>
        <v>#REF!</v>
      </c>
      <c r="BT64" s="49">
        <f>BO64*BN64*'Scoring and Weighting'!$C$59</f>
        <v>3</v>
      </c>
      <c r="BU64" s="50" t="e">
        <f t="shared" si="5"/>
        <v>#REF!</v>
      </c>
      <c r="BX64" s="30">
        <f t="shared" si="8"/>
        <v>1</v>
      </c>
    </row>
    <row r="65" spans="1:76" x14ac:dyDescent="0.25">
      <c r="A65" s="35" t="s">
        <v>151</v>
      </c>
      <c r="B65" s="35">
        <v>36</v>
      </c>
      <c r="C65" s="75">
        <v>42570.947731481479</v>
      </c>
      <c r="D65" s="35" t="s">
        <v>394</v>
      </c>
      <c r="E65" s="35"/>
      <c r="F65" s="35"/>
      <c r="G65" s="35">
        <v>766</v>
      </c>
      <c r="H65" s="35" t="s">
        <v>95</v>
      </c>
      <c r="I65" s="35">
        <v>1</v>
      </c>
      <c r="J65" s="35">
        <v>0</v>
      </c>
      <c r="K65" s="35" t="s">
        <v>51</v>
      </c>
      <c r="L65" s="35" t="s">
        <v>50</v>
      </c>
      <c r="M65" s="35" t="s">
        <v>459</v>
      </c>
      <c r="N65" s="30">
        <v>69.706749792341895</v>
      </c>
      <c r="O65">
        <f t="shared" si="3"/>
        <v>7</v>
      </c>
      <c r="P65" s="73">
        <f t="shared" si="7"/>
        <v>1</v>
      </c>
      <c r="Q65" s="73" t="str">
        <f>IF(P65&gt;1,"Multiple",VLOOKUP(O65,[1]Sheet1!$C$6:$D$17,2,0))</f>
        <v>Lake Forest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100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>
        <v>0</v>
      </c>
      <c r="AE65">
        <v>100</v>
      </c>
      <c r="AF65">
        <v>67</v>
      </c>
      <c r="AG65">
        <v>0</v>
      </c>
      <c r="AH65" s="41">
        <v>0.14874999999999999</v>
      </c>
      <c r="AI65" s="41">
        <v>0.14874999999999999</v>
      </c>
      <c r="AJ65" s="53" t="e">
        <f>N65*#REF!/100</f>
        <v>#REF!</v>
      </c>
      <c r="AK65" s="43">
        <v>0.14874999999999999</v>
      </c>
      <c r="AL65" s="43">
        <f t="shared" si="0"/>
        <v>8.4234705012817893E-2</v>
      </c>
      <c r="AM65" s="44"/>
      <c r="AN65" s="44"/>
      <c r="AO65" s="44"/>
      <c r="AP65" s="44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1"/>
      <c r="BC65" s="41"/>
      <c r="BD65" s="41"/>
      <c r="BE65" s="41"/>
      <c r="BF65" s="41"/>
      <c r="BG65" s="41"/>
      <c r="BH65" s="41"/>
      <c r="BI65" s="41"/>
      <c r="BJ65" s="46">
        <f>IFERROR(VLOOKUP(AP65,'Scoring and Weighting'!$B$10:$C$12,2,FALSE),'Scoring and Weighting'!$C$13)</f>
        <v>70</v>
      </c>
      <c r="BK65" s="46">
        <f>VLOOKUP(AL65,'Scoring and Weighting'!$C$19:$F$23,4)</f>
        <v>70</v>
      </c>
      <c r="BL65" s="47">
        <f t="shared" si="1"/>
        <v>40</v>
      </c>
      <c r="BM65" s="46" t="e">
        <f>VLOOKUP('Table with Jurisdictions'!AJ65,'Scoring and Weighting'!$C$35:$F$39,4,1)</f>
        <v>#REF!</v>
      </c>
      <c r="BN65" s="46">
        <f t="shared" si="2"/>
        <v>20</v>
      </c>
      <c r="BO65" s="48">
        <f>IFERROR(VLOOKUP(AM65,'Scoring and Weighting'!$B$63:$C$65,2,FALSE),1)</f>
        <v>1</v>
      </c>
      <c r="BP65" s="49">
        <f>BJ65*'Scoring and Weighting'!$C$55*'Table with Jurisdictions'!BO65</f>
        <v>17.5</v>
      </c>
      <c r="BQ65" s="49">
        <f>BK65*BO65*'Scoring and Weighting'!$C$56</f>
        <v>17.5</v>
      </c>
      <c r="BR65" s="49">
        <f>BO65*BL65*'Scoring and Weighting'!$C$57</f>
        <v>10</v>
      </c>
      <c r="BS65" s="49" t="e">
        <f>BO65*BM65*'Scoring and Weighting'!$C$58</f>
        <v>#REF!</v>
      </c>
      <c r="BT65" s="49">
        <f>BO65*BN65*'Scoring and Weighting'!$C$59</f>
        <v>3</v>
      </c>
      <c r="BU65" s="50" t="e">
        <f t="shared" si="5"/>
        <v>#REF!</v>
      </c>
      <c r="BX65" s="30">
        <f t="shared" si="8"/>
        <v>7</v>
      </c>
    </row>
    <row r="66" spans="1:76" x14ac:dyDescent="0.25">
      <c r="A66" s="35" t="s">
        <v>150</v>
      </c>
      <c r="B66" s="35">
        <v>36</v>
      </c>
      <c r="C66" s="75">
        <v>42570.947731481479</v>
      </c>
      <c r="D66" s="35" t="s">
        <v>394</v>
      </c>
      <c r="E66" s="35">
        <v>72</v>
      </c>
      <c r="F66" s="35">
        <v>90</v>
      </c>
      <c r="G66" s="35">
        <v>541</v>
      </c>
      <c r="H66" s="35" t="s">
        <v>62</v>
      </c>
      <c r="I66" s="35">
        <v>1</v>
      </c>
      <c r="J66" s="35">
        <v>1</v>
      </c>
      <c r="K66" s="35" t="s">
        <v>51</v>
      </c>
      <c r="L66" s="35" t="s">
        <v>50</v>
      </c>
      <c r="M66" s="35" t="s">
        <v>460</v>
      </c>
      <c r="N66" s="30">
        <v>34.446819727058802</v>
      </c>
      <c r="O66">
        <f t="shared" si="3"/>
        <v>7</v>
      </c>
      <c r="P66" s="73">
        <f t="shared" si="7"/>
        <v>1</v>
      </c>
      <c r="Q66" s="73" t="str">
        <f>IF(P66&gt;1,"Multiple",VLOOKUP(O66,[1]Sheet1!$C$6:$D$17,2,0))</f>
        <v>Lake Forest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98</v>
      </c>
      <c r="Y66" s="35">
        <v>2</v>
      </c>
      <c r="Z66" s="35">
        <v>0</v>
      </c>
      <c r="AA66" s="35">
        <v>0</v>
      </c>
      <c r="AB66" s="35">
        <v>0</v>
      </c>
      <c r="AC66" s="35">
        <v>0</v>
      </c>
      <c r="AD66">
        <v>0</v>
      </c>
      <c r="AE66">
        <v>100</v>
      </c>
      <c r="AF66">
        <v>92</v>
      </c>
      <c r="AG66">
        <v>0</v>
      </c>
      <c r="AH66" s="41">
        <v>5.6666666666699999E-4</v>
      </c>
      <c r="AI66" s="41">
        <v>5.6666666666699999E-4</v>
      </c>
      <c r="AJ66" s="53" t="e">
        <f>N66*#REF!/100</f>
        <v>#REF!</v>
      </c>
      <c r="AK66" s="43">
        <v>5.6666666666699999E-4</v>
      </c>
      <c r="AL66" s="43">
        <f t="shared" si="0"/>
        <v>3.2089411433473315E-4</v>
      </c>
      <c r="AM66" s="44"/>
      <c r="AN66" s="44"/>
      <c r="AO66" s="44"/>
      <c r="AP66" s="44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1"/>
      <c r="BC66" s="41"/>
      <c r="BD66" s="41"/>
      <c r="BE66" s="41"/>
      <c r="BF66" s="41"/>
      <c r="BG66" s="41"/>
      <c r="BH66" s="41"/>
      <c r="BI66" s="41"/>
      <c r="BJ66" s="46">
        <f>IFERROR(VLOOKUP(AP66,'Scoring and Weighting'!$B$10:$C$12,2,FALSE),'Scoring and Weighting'!$C$13)</f>
        <v>70</v>
      </c>
      <c r="BK66" s="46">
        <f>VLOOKUP(AL66,'Scoring and Weighting'!$C$19:$F$23,4)</f>
        <v>30</v>
      </c>
      <c r="BL66" s="47">
        <f t="shared" si="1"/>
        <v>40</v>
      </c>
      <c r="BM66" s="46" t="e">
        <f>VLOOKUP('Table with Jurisdictions'!AJ66,'Scoring and Weighting'!$C$35:$F$39,4,1)</f>
        <v>#REF!</v>
      </c>
      <c r="BN66" s="46">
        <f t="shared" si="2"/>
        <v>20</v>
      </c>
      <c r="BO66" s="48">
        <f>IFERROR(VLOOKUP(AM66,'Scoring and Weighting'!$B$63:$C$65,2,FALSE),1)</f>
        <v>1</v>
      </c>
      <c r="BP66" s="49">
        <f>BJ66*'Scoring and Weighting'!$C$55*'Table with Jurisdictions'!BO66</f>
        <v>17.5</v>
      </c>
      <c r="BQ66" s="49">
        <f>BK66*BO66*'Scoring and Weighting'!$C$56</f>
        <v>7.5</v>
      </c>
      <c r="BR66" s="49">
        <f>BO66*BL66*'Scoring and Weighting'!$C$57</f>
        <v>10</v>
      </c>
      <c r="BS66" s="49" t="e">
        <f>BO66*BM66*'Scoring and Weighting'!$C$58</f>
        <v>#REF!</v>
      </c>
      <c r="BT66" s="49">
        <f>BO66*BN66*'Scoring and Weighting'!$C$59</f>
        <v>3</v>
      </c>
      <c r="BU66" s="50" t="e">
        <f t="shared" si="5"/>
        <v>#REF!</v>
      </c>
      <c r="BX66" s="30">
        <f t="shared" si="8"/>
        <v>7</v>
      </c>
    </row>
    <row r="67" spans="1:76" x14ac:dyDescent="0.25">
      <c r="A67" s="35" t="s">
        <v>165</v>
      </c>
      <c r="B67" s="35">
        <v>60</v>
      </c>
      <c r="C67" s="75">
        <v>42570.947731481479</v>
      </c>
      <c r="D67" s="35" t="s">
        <v>394</v>
      </c>
      <c r="E67" s="35"/>
      <c r="F67" s="35"/>
      <c r="G67" s="35">
        <v>766</v>
      </c>
      <c r="H67" s="35" t="s">
        <v>95</v>
      </c>
      <c r="I67" s="35">
        <v>1</v>
      </c>
      <c r="J67" s="35">
        <v>0</v>
      </c>
      <c r="K67" s="35" t="s">
        <v>51</v>
      </c>
      <c r="L67" s="35" t="s">
        <v>50</v>
      </c>
      <c r="M67" s="35" t="s">
        <v>461</v>
      </c>
      <c r="N67" s="30">
        <v>21.256574619549902</v>
      </c>
      <c r="O67">
        <f t="shared" si="3"/>
        <v>7</v>
      </c>
      <c r="P67" s="73">
        <f t="shared" si="7"/>
        <v>1</v>
      </c>
      <c r="Q67" s="73" t="str">
        <f>IF(P67&gt;1,"Multiple",VLOOKUP(O67,[1]Sheet1!$C$6:$D$17,2,0))</f>
        <v>Lake Forest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100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>
        <v>0</v>
      </c>
      <c r="AE67">
        <v>98</v>
      </c>
      <c r="AF67">
        <v>0</v>
      </c>
      <c r="AG67">
        <v>0</v>
      </c>
      <c r="AH67" s="41">
        <v>6.3749999999999996E-3</v>
      </c>
      <c r="AI67" s="41">
        <v>3.6720000000000003E-2</v>
      </c>
      <c r="AJ67" s="53" t="e">
        <f>N67*#REF!/100</f>
        <v>#REF!</v>
      </c>
      <c r="AK67" s="43">
        <v>2.1547500000000001E-2</v>
      </c>
      <c r="AL67" s="43">
        <f t="shared" si="0"/>
        <v>1.2201998697571052E-2</v>
      </c>
      <c r="AM67" s="44"/>
      <c r="AN67" s="44"/>
      <c r="AO67" s="44"/>
      <c r="AP67" s="44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1"/>
      <c r="BC67" s="41"/>
      <c r="BD67" s="41"/>
      <c r="BE67" s="41"/>
      <c r="BF67" s="41"/>
      <c r="BG67" s="41"/>
      <c r="BH67" s="41"/>
      <c r="BI67" s="41"/>
      <c r="BJ67" s="46">
        <f>IFERROR(VLOOKUP(AP67,'Scoring and Weighting'!$B$10:$C$12,2,FALSE),'Scoring and Weighting'!$C$13)</f>
        <v>70</v>
      </c>
      <c r="BK67" s="46">
        <f>VLOOKUP(AL67,'Scoring and Weighting'!$C$19:$F$23,4)</f>
        <v>30</v>
      </c>
      <c r="BL67" s="47">
        <f t="shared" si="1"/>
        <v>40</v>
      </c>
      <c r="BM67" s="46" t="e">
        <f>VLOOKUP('Table with Jurisdictions'!AJ67,'Scoring and Weighting'!$C$35:$F$39,4,1)</f>
        <v>#REF!</v>
      </c>
      <c r="BN67" s="46">
        <f t="shared" si="2"/>
        <v>20</v>
      </c>
      <c r="BO67" s="48">
        <f>IFERROR(VLOOKUP(AM67,'Scoring and Weighting'!$B$63:$C$65,2,FALSE),1)</f>
        <v>1</v>
      </c>
      <c r="BP67" s="49">
        <f>BJ67*'Scoring and Weighting'!$C$55*'Table with Jurisdictions'!BO67</f>
        <v>17.5</v>
      </c>
      <c r="BQ67" s="49">
        <f>BK67*BO67*'Scoring and Weighting'!$C$56</f>
        <v>7.5</v>
      </c>
      <c r="BR67" s="49">
        <f>BO67*BL67*'Scoring and Weighting'!$C$57</f>
        <v>10</v>
      </c>
      <c r="BS67" s="49" t="e">
        <f>BO67*BM67*'Scoring and Weighting'!$C$58</f>
        <v>#REF!</v>
      </c>
      <c r="BT67" s="49">
        <f>BO67*BN67*'Scoring and Weighting'!$C$59</f>
        <v>3</v>
      </c>
      <c r="BU67" s="50" t="e">
        <f t="shared" si="5"/>
        <v>#REF!</v>
      </c>
      <c r="BX67" s="30">
        <f t="shared" si="8"/>
        <v>7</v>
      </c>
    </row>
    <row r="68" spans="1:76" x14ac:dyDescent="0.25">
      <c r="A68" s="35" t="s">
        <v>140</v>
      </c>
      <c r="B68" s="35">
        <v>90</v>
      </c>
      <c r="C68" s="75">
        <v>42570.947731481479</v>
      </c>
      <c r="D68" s="35" t="s">
        <v>394</v>
      </c>
      <c r="E68" s="35">
        <v>10</v>
      </c>
      <c r="F68" s="35">
        <v>5</v>
      </c>
      <c r="G68" s="35">
        <v>766</v>
      </c>
      <c r="H68" s="35" t="s">
        <v>95</v>
      </c>
      <c r="I68" s="35">
        <v>1</v>
      </c>
      <c r="J68" s="35">
        <v>1</v>
      </c>
      <c r="K68" s="35" t="s">
        <v>51</v>
      </c>
      <c r="L68" s="35" t="s">
        <v>50</v>
      </c>
      <c r="M68" s="35" t="s">
        <v>462</v>
      </c>
      <c r="N68" s="30">
        <v>553.84107572984499</v>
      </c>
      <c r="O68">
        <f t="shared" si="3"/>
        <v>1</v>
      </c>
      <c r="P68" s="73">
        <f t="shared" si="7"/>
        <v>1</v>
      </c>
      <c r="Q68" s="73" t="str">
        <f>IF(P68&gt;1,"Multiple",VLOOKUP(O68,[1]Sheet1!$C$6:$D$17,2,0))</f>
        <v>Aliso Viejo</v>
      </c>
      <c r="R68" s="35">
        <v>100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>
        <v>0</v>
      </c>
      <c r="AE68">
        <v>100</v>
      </c>
      <c r="AF68">
        <v>0</v>
      </c>
      <c r="AG68">
        <v>0</v>
      </c>
      <c r="AH68" s="41">
        <v>5.4399999999999997E-2</v>
      </c>
      <c r="AI68" s="41">
        <v>6.6640000000000005E-2</v>
      </c>
      <c r="AJ68" s="53" t="e">
        <f>N68*#REF!/100</f>
        <v>#REF!</v>
      </c>
      <c r="AK68" s="43">
        <v>6.0519999999999997E-2</v>
      </c>
      <c r="AL68" s="43">
        <f t="shared" ref="AL68:AL122" si="9">IF(ISBLANK(AS68),AK68*SUM($AS$4:$AS$31)/SUM($AK$4:$AK$31),AS68)</f>
        <v>3.427149141092934E-2</v>
      </c>
      <c r="AM68" s="44"/>
      <c r="AN68" s="44"/>
      <c r="AO68" s="44"/>
      <c r="AP68" s="44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1"/>
      <c r="BC68" s="41"/>
      <c r="BD68" s="41"/>
      <c r="BE68" s="41"/>
      <c r="BF68" s="41"/>
      <c r="BG68" s="41"/>
      <c r="BH68" s="41"/>
      <c r="BI68" s="41"/>
      <c r="BJ68" s="46">
        <f>IFERROR(VLOOKUP(AP68,'Scoring and Weighting'!$B$10:$C$12,2,FALSE),'Scoring and Weighting'!$C$13)</f>
        <v>70</v>
      </c>
      <c r="BK68" s="46">
        <f>VLOOKUP(AL68,'Scoring and Weighting'!$C$19:$F$23,4)</f>
        <v>50</v>
      </c>
      <c r="BL68" s="47">
        <f t="shared" ref="BL68:BL122" si="10">IF(ISBLANK(BA68),40,BA68*100)</f>
        <v>40</v>
      </c>
      <c r="BM68" s="46" t="e">
        <f>VLOOKUP('Table with Jurisdictions'!AJ68,'Scoring and Weighting'!$C$35:$F$39,4,1)</f>
        <v>#REF!</v>
      </c>
      <c r="BN68" s="46">
        <f t="shared" ref="BN68:BN122" si="11">IF(AND(AD68&gt;1,AS68&gt;0,ISTEXT(AM68)),100,IF(AND(AS68&gt;0,ISTEXT(AM68)),80,IF(AND(AD68&gt;1,ISTEXT(AM68)),60,IF(AD68&gt;1,40,20))))</f>
        <v>20</v>
      </c>
      <c r="BO68" s="48">
        <f>IFERROR(VLOOKUP(AM68,'Scoring and Weighting'!$B$63:$C$65,2,FALSE),1)</f>
        <v>1</v>
      </c>
      <c r="BP68" s="49">
        <f>BJ68*'Scoring and Weighting'!$C$55*'Table with Jurisdictions'!BO68</f>
        <v>17.5</v>
      </c>
      <c r="BQ68" s="49">
        <f>BK68*BO68*'Scoring and Weighting'!$C$56</f>
        <v>12.5</v>
      </c>
      <c r="BR68" s="49">
        <f>BO68*BL68*'Scoring and Weighting'!$C$57</f>
        <v>10</v>
      </c>
      <c r="BS68" s="49" t="e">
        <f>BO68*BM68*'Scoring and Weighting'!$C$58</f>
        <v>#REF!</v>
      </c>
      <c r="BT68" s="49">
        <f>BO68*BN68*'Scoring and Weighting'!$C$59</f>
        <v>3</v>
      </c>
      <c r="BU68" s="50" t="e">
        <f t="shared" si="5"/>
        <v>#REF!</v>
      </c>
      <c r="BX68" s="30">
        <f t="shared" ref="BX68:BX99" si="12">ROUND(SUMPRODUCT(R68:AC68,$R$1:$AC$1)/100,0)</f>
        <v>1</v>
      </c>
    </row>
    <row r="69" spans="1:76" x14ac:dyDescent="0.25">
      <c r="A69" s="35" t="s">
        <v>168</v>
      </c>
      <c r="B69" s="35">
        <v>48</v>
      </c>
      <c r="C69" s="75">
        <v>42586.653425925928</v>
      </c>
      <c r="D69" s="35" t="s">
        <v>394</v>
      </c>
      <c r="E69" s="35"/>
      <c r="F69" s="35"/>
      <c r="G69" s="35">
        <v>12155</v>
      </c>
      <c r="H69" s="35" t="s">
        <v>82</v>
      </c>
      <c r="I69" s="35">
        <v>1</v>
      </c>
      <c r="J69" s="35">
        <v>0</v>
      </c>
      <c r="K69" s="35" t="s">
        <v>51</v>
      </c>
      <c r="L69" s="35" t="s">
        <v>50</v>
      </c>
      <c r="M69" s="35" t="s">
        <v>463</v>
      </c>
      <c r="N69" s="30">
        <v>92.343543032331098</v>
      </c>
      <c r="O69">
        <f t="shared" ref="O69:O121" si="13">ROUND(SUMPRODUCT(R69:AC69,$R$1:$AC$1)/100,0)</f>
        <v>5</v>
      </c>
      <c r="P69" s="73">
        <f t="shared" si="7"/>
        <v>1</v>
      </c>
      <c r="Q69" s="73" t="str">
        <f>IF(P69&gt;1,"Multiple",VLOOKUP(O69,[1]Sheet1!$C$6:$D$17,2,0))</f>
        <v>Laguna Niguel</v>
      </c>
      <c r="R69" s="35">
        <v>0</v>
      </c>
      <c r="S69" s="35">
        <v>0</v>
      </c>
      <c r="T69" s="35">
        <v>0</v>
      </c>
      <c r="U69" s="35">
        <v>0</v>
      </c>
      <c r="V69" s="35">
        <v>99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1</v>
      </c>
      <c r="AD69">
        <v>0</v>
      </c>
      <c r="AE69">
        <v>100</v>
      </c>
      <c r="AF69">
        <v>0</v>
      </c>
      <c r="AG69">
        <v>0</v>
      </c>
      <c r="AH69" s="41">
        <v>1.9890000000000001E-2</v>
      </c>
      <c r="AI69" s="41">
        <v>0.14280000000000001</v>
      </c>
      <c r="AJ69" s="53" t="e">
        <f>N69*#REF!/100</f>
        <v>#REF!</v>
      </c>
      <c r="AK69" s="43">
        <v>6.9529999999999995E-2</v>
      </c>
      <c r="AL69" s="43">
        <f t="shared" si="9"/>
        <v>3.9373707828848595E-2</v>
      </c>
      <c r="AM69" s="44" t="s">
        <v>110</v>
      </c>
      <c r="AN69" s="44" t="s">
        <v>53</v>
      </c>
      <c r="AO69" s="44" t="s">
        <v>53</v>
      </c>
      <c r="AP69" s="44" t="s">
        <v>114</v>
      </c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1"/>
      <c r="BC69" s="41"/>
      <c r="BD69" s="41"/>
      <c r="BE69" s="41"/>
      <c r="BF69" s="41"/>
      <c r="BG69" s="41"/>
      <c r="BH69" s="41"/>
      <c r="BI69" s="41"/>
      <c r="BJ69" s="46">
        <f>IFERROR(VLOOKUP(AP69,'Scoring and Weighting'!$B$10:$C$12,2,FALSE),'Scoring and Weighting'!$C$13)</f>
        <v>60</v>
      </c>
      <c r="BK69" s="46">
        <f>VLOOKUP(AL69,'Scoring and Weighting'!$C$19:$F$23,4)</f>
        <v>50</v>
      </c>
      <c r="BL69" s="47">
        <f t="shared" si="10"/>
        <v>40</v>
      </c>
      <c r="BM69" s="46" t="e">
        <f>VLOOKUP('Table with Jurisdictions'!AJ69,'Scoring and Weighting'!$C$35:$F$39,4,1)</f>
        <v>#REF!</v>
      </c>
      <c r="BN69" s="46">
        <f t="shared" si="11"/>
        <v>20</v>
      </c>
      <c r="BO69" s="48">
        <f>IFERROR(VLOOKUP(AM69,'Scoring and Weighting'!$B$63:$C$65,2,FALSE),1)</f>
        <v>0.5</v>
      </c>
      <c r="BP69" s="49">
        <f>BJ69*'Scoring and Weighting'!$C$55*'Table with Jurisdictions'!BO69</f>
        <v>7.5</v>
      </c>
      <c r="BQ69" s="49">
        <f>BK69*BO69*'Scoring and Weighting'!$C$56</f>
        <v>6.25</v>
      </c>
      <c r="BR69" s="49">
        <f>BO69*BL69*'Scoring and Weighting'!$C$57</f>
        <v>5</v>
      </c>
      <c r="BS69" s="49" t="e">
        <f>BO69*BM69*'Scoring and Weighting'!$C$58</f>
        <v>#REF!</v>
      </c>
      <c r="BT69" s="49">
        <f>BO69*BN69*'Scoring and Weighting'!$C$59</f>
        <v>1.5</v>
      </c>
      <c r="BU69" s="50" t="e">
        <f t="shared" ref="BU69:BU122" si="14">SUM(BP69:BT69)</f>
        <v>#REF!</v>
      </c>
      <c r="BX69" s="30">
        <f t="shared" si="12"/>
        <v>5</v>
      </c>
    </row>
    <row r="70" spans="1:76" x14ac:dyDescent="0.25">
      <c r="A70" s="35" t="s">
        <v>171</v>
      </c>
      <c r="B70" s="35">
        <v>60</v>
      </c>
      <c r="C70" s="75">
        <v>42570.94771990741</v>
      </c>
      <c r="D70" s="35" t="s">
        <v>394</v>
      </c>
      <c r="E70" s="35"/>
      <c r="F70" s="35"/>
      <c r="G70" s="35">
        <v>12036</v>
      </c>
      <c r="H70" s="35" t="s">
        <v>82</v>
      </c>
      <c r="I70" s="35">
        <v>1</v>
      </c>
      <c r="J70" s="35">
        <v>0</v>
      </c>
      <c r="K70" s="35" t="s">
        <v>51</v>
      </c>
      <c r="L70" s="35" t="s">
        <v>50</v>
      </c>
      <c r="M70" s="35" t="s">
        <v>464</v>
      </c>
      <c r="N70" s="30">
        <v>34.231223048920299</v>
      </c>
      <c r="O70">
        <f t="shared" si="13"/>
        <v>5</v>
      </c>
      <c r="P70" s="73">
        <f t="shared" si="7"/>
        <v>1</v>
      </c>
      <c r="Q70" s="73" t="str">
        <f>IF(P70&gt;1,"Multiple",VLOOKUP(O70,[1]Sheet1!$C$6:$D$17,2,0))</f>
        <v>Laguna Niguel</v>
      </c>
      <c r="R70" s="35">
        <v>0</v>
      </c>
      <c r="S70" s="35">
        <v>0</v>
      </c>
      <c r="T70" s="35">
        <v>0</v>
      </c>
      <c r="U70" s="35">
        <v>0</v>
      </c>
      <c r="V70" s="35">
        <v>100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>
        <v>0</v>
      </c>
      <c r="AE70">
        <v>0</v>
      </c>
      <c r="AF70">
        <v>0</v>
      </c>
      <c r="AG70">
        <v>0</v>
      </c>
      <c r="AH70" s="41">
        <v>0.41975308641975301</v>
      </c>
      <c r="AI70" s="41">
        <v>0.41975308641975301</v>
      </c>
      <c r="AJ70" s="53" t="e">
        <f>N70*#REF!/100</f>
        <v>#REF!</v>
      </c>
      <c r="AK70" s="43">
        <v>0.41975308641975301</v>
      </c>
      <c r="AL70" s="43">
        <f t="shared" si="9"/>
        <v>0.23769934395151432</v>
      </c>
      <c r="AM70" s="44"/>
      <c r="AN70" s="44"/>
      <c r="AO70" s="44"/>
      <c r="AP70" s="44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1"/>
      <c r="BC70" s="41"/>
      <c r="BD70" s="41"/>
      <c r="BE70" s="41"/>
      <c r="BF70" s="41"/>
      <c r="BG70" s="41"/>
      <c r="BH70" s="41"/>
      <c r="BI70" s="41"/>
      <c r="BJ70" s="46">
        <f>IFERROR(VLOOKUP(AP70,'Scoring and Weighting'!$B$10:$C$12,2,FALSE),'Scoring and Weighting'!$C$13)</f>
        <v>70</v>
      </c>
      <c r="BK70" s="46">
        <f>VLOOKUP(AL70,'Scoring and Weighting'!$C$19:$F$23,4)</f>
        <v>100</v>
      </c>
      <c r="BL70" s="47">
        <f t="shared" si="10"/>
        <v>40</v>
      </c>
      <c r="BM70" s="46" t="e">
        <f>VLOOKUP('Table with Jurisdictions'!AJ70,'Scoring and Weighting'!$C$35:$F$39,4,1)</f>
        <v>#REF!</v>
      </c>
      <c r="BN70" s="46">
        <f t="shared" si="11"/>
        <v>20</v>
      </c>
      <c r="BO70" s="48">
        <f>IFERROR(VLOOKUP(AM70,'Scoring and Weighting'!$B$63:$C$65,2,FALSE),1)</f>
        <v>1</v>
      </c>
      <c r="BP70" s="49">
        <f>BJ70*'Scoring and Weighting'!$C$55*'Table with Jurisdictions'!BO70</f>
        <v>17.5</v>
      </c>
      <c r="BQ70" s="49">
        <f>BK70*BO70*'Scoring and Weighting'!$C$56</f>
        <v>25</v>
      </c>
      <c r="BR70" s="49">
        <f>BO70*BL70*'Scoring and Weighting'!$C$57</f>
        <v>10</v>
      </c>
      <c r="BS70" s="49" t="e">
        <f>BO70*BM70*'Scoring and Weighting'!$C$58</f>
        <v>#REF!</v>
      </c>
      <c r="BT70" s="49">
        <f>BO70*BN70*'Scoring and Weighting'!$C$59</f>
        <v>3</v>
      </c>
      <c r="BU70" s="50" t="e">
        <f t="shared" si="14"/>
        <v>#REF!</v>
      </c>
      <c r="BX70" s="30">
        <f t="shared" si="12"/>
        <v>5</v>
      </c>
    </row>
    <row r="71" spans="1:76" x14ac:dyDescent="0.25">
      <c r="A71" s="35" t="s">
        <v>257</v>
      </c>
      <c r="B71" s="35">
        <v>36</v>
      </c>
      <c r="C71" s="75">
        <v>42570.94771990741</v>
      </c>
      <c r="D71" s="35" t="s">
        <v>394</v>
      </c>
      <c r="E71" s="35"/>
      <c r="F71" s="35"/>
      <c r="G71" s="35">
        <v>12036</v>
      </c>
      <c r="H71" s="35" t="s">
        <v>82</v>
      </c>
      <c r="I71" s="35">
        <v>1</v>
      </c>
      <c r="J71" s="35">
        <v>0</v>
      </c>
      <c r="K71" s="35" t="s">
        <v>51</v>
      </c>
      <c r="L71" s="35" t="s">
        <v>50</v>
      </c>
      <c r="M71" s="35" t="s">
        <v>465</v>
      </c>
      <c r="N71" s="30" t="s">
        <v>527</v>
      </c>
      <c r="O71">
        <f t="shared" si="13"/>
        <v>0</v>
      </c>
      <c r="P71" s="73" t="s">
        <v>527</v>
      </c>
      <c r="Q71" s="73" t="s">
        <v>527</v>
      </c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>
        <v>0</v>
      </c>
      <c r="AE71">
        <v>0</v>
      </c>
      <c r="AF71">
        <v>0</v>
      </c>
      <c r="AG71">
        <v>0</v>
      </c>
      <c r="AH71" s="41">
        <v>1.4875000000000001E-3</v>
      </c>
      <c r="AI71" s="41">
        <v>1.1333333333332999E-2</v>
      </c>
      <c r="AJ71" s="53" t="e">
        <f>N71*#REF!/100</f>
        <v>#VALUE!</v>
      </c>
      <c r="AK71" s="43">
        <v>6.4104166666669998E-3</v>
      </c>
      <c r="AL71" s="43">
        <f t="shared" si="9"/>
        <v>3.6301146684097219E-3</v>
      </c>
      <c r="AM71" s="44"/>
      <c r="AN71" s="44"/>
      <c r="AO71" s="44"/>
      <c r="AP71" s="44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1"/>
      <c r="BC71" s="41"/>
      <c r="BD71" s="41"/>
      <c r="BE71" s="41"/>
      <c r="BF71" s="41"/>
      <c r="BG71" s="41"/>
      <c r="BH71" s="41"/>
      <c r="BI71" s="41"/>
      <c r="BJ71" s="46">
        <f>IFERROR(VLOOKUP(AP71,'Scoring and Weighting'!$B$10:$C$12,2,FALSE),'Scoring and Weighting'!$C$13)</f>
        <v>70</v>
      </c>
      <c r="BK71" s="46">
        <f>VLOOKUP(AL71,'Scoring and Weighting'!$C$19:$F$23,4)</f>
        <v>30</v>
      </c>
      <c r="BL71" s="47">
        <f t="shared" si="10"/>
        <v>40</v>
      </c>
      <c r="BM71" s="46" t="e">
        <f>VLOOKUP('Table with Jurisdictions'!AJ71,'Scoring and Weighting'!$C$35:$F$39,4,1)</f>
        <v>#VALUE!</v>
      </c>
      <c r="BN71" s="46">
        <f t="shared" si="11"/>
        <v>20</v>
      </c>
      <c r="BO71" s="48">
        <f>IFERROR(VLOOKUP(AM71,'Scoring and Weighting'!$B$63:$C$65,2,FALSE),1)</f>
        <v>1</v>
      </c>
      <c r="BP71" s="49">
        <f>BJ71*'Scoring and Weighting'!$C$55*'Table with Jurisdictions'!BO71</f>
        <v>17.5</v>
      </c>
      <c r="BQ71" s="49">
        <f>BK71*BO71*'Scoring and Weighting'!$C$56</f>
        <v>7.5</v>
      </c>
      <c r="BR71" s="49">
        <f>BO71*BL71*'Scoring and Weighting'!$C$57</f>
        <v>10</v>
      </c>
      <c r="BS71" s="49" t="e">
        <f>BO71*BM71*'Scoring and Weighting'!$C$58</f>
        <v>#VALUE!</v>
      </c>
      <c r="BT71" s="49">
        <f>BO71*BN71*'Scoring and Weighting'!$C$59</f>
        <v>3</v>
      </c>
      <c r="BU71" s="50" t="e">
        <f t="shared" si="14"/>
        <v>#VALUE!</v>
      </c>
      <c r="BX71" s="30">
        <f t="shared" si="12"/>
        <v>0</v>
      </c>
    </row>
    <row r="72" spans="1:76" x14ac:dyDescent="0.25">
      <c r="A72" s="35" t="s">
        <v>233</v>
      </c>
      <c r="B72" s="35">
        <v>48</v>
      </c>
      <c r="C72" s="75">
        <v>42586.654421296298</v>
      </c>
      <c r="D72" s="35" t="s">
        <v>394</v>
      </c>
      <c r="E72" s="35"/>
      <c r="F72" s="35"/>
      <c r="G72" s="35">
        <v>12032</v>
      </c>
      <c r="H72" s="35" t="s">
        <v>82</v>
      </c>
      <c r="I72" s="35">
        <v>1</v>
      </c>
      <c r="J72" s="35">
        <v>0</v>
      </c>
      <c r="K72" s="35" t="s">
        <v>51</v>
      </c>
      <c r="L72" s="35" t="s">
        <v>50</v>
      </c>
      <c r="M72" s="35" t="s">
        <v>466</v>
      </c>
      <c r="N72" s="30">
        <v>204.59498221430701</v>
      </c>
      <c r="O72">
        <f t="shared" si="13"/>
        <v>8</v>
      </c>
      <c r="P72" s="73">
        <f t="shared" ref="P72:P120" si="15">COUNTIF(R72:AC72,"&gt;"&amp;10)</f>
        <v>1</v>
      </c>
      <c r="Q72" s="73" t="str">
        <f>IF(P72&gt;1,"Multiple",VLOOKUP(O72,[1]Sheet1!$C$6:$D$17,2,0))</f>
        <v>Mission Viejo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2</v>
      </c>
      <c r="Y72" s="35">
        <v>98</v>
      </c>
      <c r="Z72" s="35">
        <v>0</v>
      </c>
      <c r="AA72" s="35">
        <v>0</v>
      </c>
      <c r="AB72" s="35">
        <v>0</v>
      </c>
      <c r="AC72" s="35">
        <v>0</v>
      </c>
      <c r="AD72">
        <v>0</v>
      </c>
      <c r="AE72">
        <v>0</v>
      </c>
      <c r="AF72">
        <v>0</v>
      </c>
      <c r="AG72">
        <v>0</v>
      </c>
      <c r="AH72" s="41">
        <v>5.44E-4</v>
      </c>
      <c r="AI72" s="41">
        <v>5.9500000000000004E-4</v>
      </c>
      <c r="AJ72" s="53" t="e">
        <f>N72*#REF!/100</f>
        <v>#REF!</v>
      </c>
      <c r="AK72" s="43">
        <v>5.6950000000000002E-4</v>
      </c>
      <c r="AL72" s="43">
        <f t="shared" si="9"/>
        <v>3.2249858490621716E-4</v>
      </c>
      <c r="AM72" s="44"/>
      <c r="AN72" s="44"/>
      <c r="AO72" s="44"/>
      <c r="AP72" s="44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1"/>
      <c r="BC72" s="41"/>
      <c r="BD72" s="41"/>
      <c r="BE72" s="41"/>
      <c r="BF72" s="41"/>
      <c r="BG72" s="41"/>
      <c r="BH72" s="41"/>
      <c r="BI72" s="41"/>
      <c r="BJ72" s="46">
        <f>IFERROR(VLOOKUP(AP72,'Scoring and Weighting'!$B$10:$C$12,2,FALSE),'Scoring and Weighting'!$C$13)</f>
        <v>70</v>
      </c>
      <c r="BK72" s="46">
        <f>VLOOKUP(AL72,'Scoring and Weighting'!$C$19:$F$23,4)</f>
        <v>30</v>
      </c>
      <c r="BL72" s="47">
        <f t="shared" si="10"/>
        <v>40</v>
      </c>
      <c r="BM72" s="46" t="e">
        <f>VLOOKUP('Table with Jurisdictions'!AJ72,'Scoring and Weighting'!$C$35:$F$39,4,1)</f>
        <v>#REF!</v>
      </c>
      <c r="BN72" s="46">
        <f t="shared" si="11"/>
        <v>20</v>
      </c>
      <c r="BO72" s="48">
        <f>IFERROR(VLOOKUP(AM72,'Scoring and Weighting'!$B$63:$C$65,2,FALSE),1)</f>
        <v>1</v>
      </c>
      <c r="BP72" s="49">
        <f>BJ72*'Scoring and Weighting'!$C$55*'Table with Jurisdictions'!BO72</f>
        <v>17.5</v>
      </c>
      <c r="BQ72" s="49">
        <f>BK72*BO72*'Scoring and Weighting'!$C$56</f>
        <v>7.5</v>
      </c>
      <c r="BR72" s="49">
        <f>BO72*BL72*'Scoring and Weighting'!$C$57</f>
        <v>10</v>
      </c>
      <c r="BS72" s="49" t="e">
        <f>BO72*BM72*'Scoring and Weighting'!$C$58</f>
        <v>#REF!</v>
      </c>
      <c r="BT72" s="49">
        <f>BO72*BN72*'Scoring and Weighting'!$C$59</f>
        <v>3</v>
      </c>
      <c r="BU72" s="50" t="e">
        <f t="shared" si="14"/>
        <v>#REF!</v>
      </c>
      <c r="BX72" s="30">
        <f t="shared" si="12"/>
        <v>8</v>
      </c>
    </row>
    <row r="73" spans="1:76" x14ac:dyDescent="0.25">
      <c r="A73" s="35" t="s">
        <v>230</v>
      </c>
      <c r="B73" s="35">
        <v>36</v>
      </c>
      <c r="C73" s="75">
        <v>42570.94771990741</v>
      </c>
      <c r="D73" s="35" t="s">
        <v>394</v>
      </c>
      <c r="E73" s="35"/>
      <c r="F73" s="35"/>
      <c r="G73" s="35">
        <v>12156</v>
      </c>
      <c r="H73" s="35" t="s">
        <v>82</v>
      </c>
      <c r="I73" s="35">
        <v>1</v>
      </c>
      <c r="J73" s="35">
        <v>2</v>
      </c>
      <c r="K73" s="35" t="s">
        <v>51</v>
      </c>
      <c r="L73" s="35" t="s">
        <v>50</v>
      </c>
      <c r="M73" s="35" t="s">
        <v>467</v>
      </c>
      <c r="N73" s="30">
        <v>102.118491846385</v>
      </c>
      <c r="O73">
        <f t="shared" si="13"/>
        <v>8</v>
      </c>
      <c r="P73" s="73">
        <f t="shared" si="15"/>
        <v>1</v>
      </c>
      <c r="Q73" s="73" t="str">
        <f>IF(P73&gt;1,"Multiple",VLOOKUP(O73,[1]Sheet1!$C$6:$D$17,2,0))</f>
        <v>Mission Viejo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100</v>
      </c>
      <c r="Z73" s="35">
        <v>0</v>
      </c>
      <c r="AA73" s="35">
        <v>0</v>
      </c>
      <c r="AB73" s="35">
        <v>0</v>
      </c>
      <c r="AC73" s="35">
        <v>0</v>
      </c>
      <c r="AD73">
        <v>0</v>
      </c>
      <c r="AE73">
        <v>0</v>
      </c>
      <c r="AF73">
        <v>0</v>
      </c>
      <c r="AG73">
        <v>0</v>
      </c>
      <c r="AH73" s="41">
        <v>0.10199999999999999</v>
      </c>
      <c r="AI73" s="41">
        <v>0.10199999999999999</v>
      </c>
      <c r="AJ73" s="53" t="e">
        <f>N73*#REF!/100</f>
        <v>#REF!</v>
      </c>
      <c r="AK73" s="43">
        <v>0.10199999999999999</v>
      </c>
      <c r="AL73" s="43">
        <f t="shared" si="9"/>
        <v>5.7760940580217981E-2</v>
      </c>
      <c r="AM73" s="44"/>
      <c r="AN73" s="44"/>
      <c r="AO73" s="44"/>
      <c r="AP73" s="44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1"/>
      <c r="BC73" s="41"/>
      <c r="BD73" s="41"/>
      <c r="BE73" s="41"/>
      <c r="BF73" s="41"/>
      <c r="BG73" s="41"/>
      <c r="BH73" s="41"/>
      <c r="BI73" s="41"/>
      <c r="BJ73" s="46">
        <f>IFERROR(VLOOKUP(AP73,'Scoring and Weighting'!$B$10:$C$12,2,FALSE),'Scoring and Weighting'!$C$13)</f>
        <v>70</v>
      </c>
      <c r="BK73" s="46">
        <f>VLOOKUP(AL73,'Scoring and Weighting'!$C$19:$F$23,4)</f>
        <v>70</v>
      </c>
      <c r="BL73" s="47">
        <f t="shared" si="10"/>
        <v>40</v>
      </c>
      <c r="BM73" s="46" t="e">
        <f>VLOOKUP('Table with Jurisdictions'!AJ73,'Scoring and Weighting'!$C$35:$F$39,4,1)</f>
        <v>#REF!</v>
      </c>
      <c r="BN73" s="46">
        <f t="shared" si="11"/>
        <v>20</v>
      </c>
      <c r="BO73" s="48">
        <f>IFERROR(VLOOKUP(AM73,'Scoring and Weighting'!$B$63:$C$65,2,FALSE),1)</f>
        <v>1</v>
      </c>
      <c r="BP73" s="49">
        <f>BJ73*'Scoring and Weighting'!$C$55*'Table with Jurisdictions'!BO73</f>
        <v>17.5</v>
      </c>
      <c r="BQ73" s="49">
        <f>BK73*BO73*'Scoring and Weighting'!$C$56</f>
        <v>17.5</v>
      </c>
      <c r="BR73" s="49">
        <f>BO73*BL73*'Scoring and Weighting'!$C$57</f>
        <v>10</v>
      </c>
      <c r="BS73" s="49" t="e">
        <f>BO73*BM73*'Scoring and Weighting'!$C$58</f>
        <v>#REF!</v>
      </c>
      <c r="BT73" s="49">
        <f>BO73*BN73*'Scoring and Weighting'!$C$59</f>
        <v>3</v>
      </c>
      <c r="BU73" s="50" t="e">
        <f t="shared" si="14"/>
        <v>#REF!</v>
      </c>
      <c r="BX73" s="30">
        <f t="shared" si="12"/>
        <v>8</v>
      </c>
    </row>
    <row r="74" spans="1:76" x14ac:dyDescent="0.25">
      <c r="A74" s="35" t="s">
        <v>231</v>
      </c>
      <c r="B74" s="35">
        <v>48</v>
      </c>
      <c r="C74" s="75">
        <v>42586.653113425928</v>
      </c>
      <c r="D74" s="35" t="s">
        <v>394</v>
      </c>
      <c r="E74" s="35"/>
      <c r="F74" s="35"/>
      <c r="G74" s="35">
        <v>12138</v>
      </c>
      <c r="H74" s="35" t="s">
        <v>82</v>
      </c>
      <c r="I74" s="35">
        <v>1</v>
      </c>
      <c r="J74" s="35">
        <v>0</v>
      </c>
      <c r="K74" s="35" t="s">
        <v>51</v>
      </c>
      <c r="L74" s="35" t="s">
        <v>50</v>
      </c>
      <c r="M74" s="35" t="s">
        <v>468</v>
      </c>
      <c r="N74" s="30">
        <v>118.617135170693</v>
      </c>
      <c r="O74">
        <f t="shared" si="13"/>
        <v>8</v>
      </c>
      <c r="P74" s="73">
        <f t="shared" si="15"/>
        <v>1</v>
      </c>
      <c r="Q74" s="73" t="str">
        <f>IF(P74&gt;1,"Multiple",VLOOKUP(O74,[1]Sheet1!$C$6:$D$17,2,0))</f>
        <v>Mission Viejo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100</v>
      </c>
      <c r="Z74" s="35">
        <v>0</v>
      </c>
      <c r="AA74" s="35">
        <v>0</v>
      </c>
      <c r="AB74" s="35">
        <v>0</v>
      </c>
      <c r="AC74" s="35">
        <v>0</v>
      </c>
      <c r="AD74">
        <v>0</v>
      </c>
      <c r="AE74">
        <v>0</v>
      </c>
      <c r="AF74">
        <v>0</v>
      </c>
      <c r="AG74">
        <v>0</v>
      </c>
      <c r="AH74" s="41">
        <v>2.7199999999999998E-2</v>
      </c>
      <c r="AI74" s="41">
        <v>5.355E-2</v>
      </c>
      <c r="AJ74" s="53" t="e">
        <f>N74*#REF!/100</f>
        <v>#REF!</v>
      </c>
      <c r="AK74" s="43">
        <v>4.0375000000000001E-2</v>
      </c>
      <c r="AL74" s="43">
        <f t="shared" si="9"/>
        <v>2.2863705646336288E-2</v>
      </c>
      <c r="AM74" s="44" t="s">
        <v>210</v>
      </c>
      <c r="AN74" s="44" t="s">
        <v>211</v>
      </c>
      <c r="AO74" s="44" t="s">
        <v>211</v>
      </c>
      <c r="AP74" s="44" t="s">
        <v>69</v>
      </c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1"/>
      <c r="BC74" s="41"/>
      <c r="BD74" s="41"/>
      <c r="BE74" s="41"/>
      <c r="BF74" s="41"/>
      <c r="BG74" s="41"/>
      <c r="BH74" s="41"/>
      <c r="BI74" s="41"/>
      <c r="BJ74" s="46">
        <f>IFERROR(VLOOKUP(AP74,'Scoring and Weighting'!$B$10:$C$12,2,FALSE),'Scoring and Weighting'!$C$13)</f>
        <v>80</v>
      </c>
      <c r="BK74" s="46">
        <f>VLOOKUP(AL74,'Scoring and Weighting'!$C$19:$F$23,4)</f>
        <v>50</v>
      </c>
      <c r="BL74" s="47">
        <f t="shared" si="10"/>
        <v>40</v>
      </c>
      <c r="BM74" s="46" t="e">
        <f>VLOOKUP('Table with Jurisdictions'!AJ74,'Scoring and Weighting'!$C$35:$F$39,4,1)</f>
        <v>#REF!</v>
      </c>
      <c r="BN74" s="46">
        <f t="shared" si="11"/>
        <v>20</v>
      </c>
      <c r="BO74" s="48">
        <f>IFERROR(VLOOKUP(AM74,'Scoring and Weighting'!$B$63:$C$65,2,FALSE),1)</f>
        <v>0</v>
      </c>
      <c r="BP74" s="49">
        <f>BJ74*'Scoring and Weighting'!$C$55*'Table with Jurisdictions'!BO74</f>
        <v>0</v>
      </c>
      <c r="BQ74" s="49">
        <f>BK74*BO74*'Scoring and Weighting'!$C$56</f>
        <v>0</v>
      </c>
      <c r="BR74" s="49">
        <f>BO74*BL74*'Scoring and Weighting'!$C$57</f>
        <v>0</v>
      </c>
      <c r="BS74" s="49" t="e">
        <f>BO74*BM74*'Scoring and Weighting'!$C$58</f>
        <v>#REF!</v>
      </c>
      <c r="BT74" s="49">
        <f>BO74*BN74*'Scoring and Weighting'!$C$59</f>
        <v>0</v>
      </c>
      <c r="BU74" s="50" t="e">
        <f t="shared" si="14"/>
        <v>#REF!</v>
      </c>
      <c r="BX74" s="30">
        <f t="shared" si="12"/>
        <v>8</v>
      </c>
    </row>
    <row r="75" spans="1:76" x14ac:dyDescent="0.25">
      <c r="A75" s="35" t="s">
        <v>232</v>
      </c>
      <c r="B75" s="35">
        <v>36</v>
      </c>
      <c r="C75" s="75">
        <v>42570.94771990741</v>
      </c>
      <c r="D75" s="35" t="s">
        <v>394</v>
      </c>
      <c r="E75" s="35"/>
      <c r="F75" s="35"/>
      <c r="G75" s="35">
        <v>12094</v>
      </c>
      <c r="H75" s="35" t="s">
        <v>205</v>
      </c>
      <c r="I75" s="35">
        <v>1</v>
      </c>
      <c r="J75" s="35">
        <v>0</v>
      </c>
      <c r="K75" s="35" t="s">
        <v>51</v>
      </c>
      <c r="L75" s="35" t="s">
        <v>50</v>
      </c>
      <c r="M75" s="35" t="s">
        <v>469</v>
      </c>
      <c r="N75" s="30">
        <v>27.700054538044501</v>
      </c>
      <c r="O75">
        <f t="shared" si="13"/>
        <v>8</v>
      </c>
      <c r="P75" s="73">
        <f t="shared" si="15"/>
        <v>1</v>
      </c>
      <c r="Q75" s="73" t="str">
        <f>IF(P75&gt;1,"Multiple",VLOOKUP(O75,[1]Sheet1!$C$6:$D$17,2,0))</f>
        <v>Mission Viejo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100</v>
      </c>
      <c r="Z75" s="35">
        <v>0</v>
      </c>
      <c r="AA75" s="35">
        <v>0</v>
      </c>
      <c r="AB75" s="35">
        <v>0</v>
      </c>
      <c r="AC75" s="35">
        <v>0</v>
      </c>
      <c r="AD75">
        <v>0</v>
      </c>
      <c r="AE75">
        <v>1</v>
      </c>
      <c r="AF75">
        <v>48</v>
      </c>
      <c r="AG75">
        <v>0</v>
      </c>
      <c r="AH75" s="41">
        <v>2.7199999999999998E-2</v>
      </c>
      <c r="AI75" s="41">
        <v>3.5700000000000003E-2</v>
      </c>
      <c r="AJ75" s="53" t="e">
        <f>N75*#REF!/100</f>
        <v>#REF!</v>
      </c>
      <c r="AK75" s="43">
        <v>3.1449999999999999E-2</v>
      </c>
      <c r="AL75" s="43">
        <f t="shared" si="9"/>
        <v>1.7809623345567214E-2</v>
      </c>
      <c r="AM75" s="44" t="s">
        <v>52</v>
      </c>
      <c r="AN75" s="44" t="s">
        <v>53</v>
      </c>
      <c r="AO75" s="44" t="s">
        <v>53</v>
      </c>
      <c r="AP75" s="44" t="s">
        <v>69</v>
      </c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1"/>
      <c r="BC75" s="41"/>
      <c r="BD75" s="41"/>
      <c r="BE75" s="41"/>
      <c r="BF75" s="41"/>
      <c r="BG75" s="41"/>
      <c r="BH75" s="41"/>
      <c r="BI75" s="41"/>
      <c r="BJ75" s="46">
        <f>IFERROR(VLOOKUP(AP75,'Scoring and Weighting'!$B$10:$C$12,2,FALSE),'Scoring and Weighting'!$C$13)</f>
        <v>80</v>
      </c>
      <c r="BK75" s="46">
        <f>VLOOKUP(AL75,'Scoring and Weighting'!$C$19:$F$23,4)</f>
        <v>50</v>
      </c>
      <c r="BL75" s="47">
        <f t="shared" si="10"/>
        <v>40</v>
      </c>
      <c r="BM75" s="46" t="e">
        <f>VLOOKUP('Table with Jurisdictions'!AJ75,'Scoring and Weighting'!$C$35:$F$39,4,1)</f>
        <v>#REF!</v>
      </c>
      <c r="BN75" s="46">
        <f t="shared" si="11"/>
        <v>20</v>
      </c>
      <c r="BO75" s="48">
        <f>IFERROR(VLOOKUP(AM75,'Scoring and Weighting'!$B$63:$C$65,2,FALSE),1)</f>
        <v>1</v>
      </c>
      <c r="BP75" s="49">
        <f>BJ75*'Scoring and Weighting'!$C$55*'Table with Jurisdictions'!BO75</f>
        <v>20</v>
      </c>
      <c r="BQ75" s="49">
        <f>BK75*BO75*'Scoring and Weighting'!$C$56</f>
        <v>12.5</v>
      </c>
      <c r="BR75" s="49">
        <f>BO75*BL75*'Scoring and Weighting'!$C$57</f>
        <v>10</v>
      </c>
      <c r="BS75" s="49" t="e">
        <f>BO75*BM75*'Scoring and Weighting'!$C$58</f>
        <v>#REF!</v>
      </c>
      <c r="BT75" s="49">
        <f>BO75*BN75*'Scoring and Weighting'!$C$59</f>
        <v>3</v>
      </c>
      <c r="BU75" s="50" t="e">
        <f t="shared" si="14"/>
        <v>#REF!</v>
      </c>
      <c r="BX75" s="30">
        <f t="shared" si="12"/>
        <v>8</v>
      </c>
    </row>
    <row r="76" spans="1:76" x14ac:dyDescent="0.25">
      <c r="A76" s="35" t="s">
        <v>254</v>
      </c>
      <c r="B76" s="35">
        <v>54</v>
      </c>
      <c r="C76" s="75">
        <v>42570.94771990741</v>
      </c>
      <c r="D76" s="35" t="s">
        <v>394</v>
      </c>
      <c r="E76" s="35">
        <v>11.5</v>
      </c>
      <c r="F76" s="35">
        <v>11</v>
      </c>
      <c r="G76" s="35">
        <v>728</v>
      </c>
      <c r="H76" s="35" t="s">
        <v>95</v>
      </c>
      <c r="I76" s="35">
        <v>1</v>
      </c>
      <c r="J76" s="35">
        <v>1</v>
      </c>
      <c r="K76" s="35" t="s">
        <v>84</v>
      </c>
      <c r="L76" s="35" t="s">
        <v>50</v>
      </c>
      <c r="M76" s="35" t="s">
        <v>470</v>
      </c>
      <c r="N76" s="30">
        <v>185.37165055531901</v>
      </c>
      <c r="O76">
        <f t="shared" si="13"/>
        <v>5</v>
      </c>
      <c r="P76" s="73">
        <f t="shared" si="15"/>
        <v>1</v>
      </c>
      <c r="Q76" s="73" t="str">
        <f>IF(P76&gt;1,"Multiple",VLOOKUP(O76,[1]Sheet1!$C$6:$D$17,2,0))</f>
        <v>Laguna Niguel</v>
      </c>
      <c r="R76" s="35">
        <v>0</v>
      </c>
      <c r="S76" s="35">
        <v>0</v>
      </c>
      <c r="T76" s="35">
        <v>0</v>
      </c>
      <c r="U76" s="35">
        <v>0</v>
      </c>
      <c r="V76" s="35">
        <v>100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>
        <v>0</v>
      </c>
      <c r="AE76">
        <v>0</v>
      </c>
      <c r="AF76">
        <v>0</v>
      </c>
      <c r="AG76">
        <v>0</v>
      </c>
      <c r="AH76" s="41">
        <v>3.3999999999999998E-3</v>
      </c>
      <c r="AI76" s="41">
        <v>3.3999999999999998E-3</v>
      </c>
      <c r="AJ76" s="53" t="e">
        <f>N76*#REF!/100</f>
        <v>#REF!</v>
      </c>
      <c r="AK76" s="43">
        <v>3.3999999999999998E-3</v>
      </c>
      <c r="AL76" s="43">
        <f t="shared" si="9"/>
        <v>1.9253646860072663E-3</v>
      </c>
      <c r="AM76" s="44"/>
      <c r="AN76" s="44"/>
      <c r="AO76" s="44"/>
      <c r="AP76" s="44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1"/>
      <c r="BC76" s="41"/>
      <c r="BD76" s="41"/>
      <c r="BE76" s="41"/>
      <c r="BF76" s="41"/>
      <c r="BG76" s="41"/>
      <c r="BH76" s="41"/>
      <c r="BI76" s="41"/>
      <c r="BJ76" s="46">
        <f>IFERROR(VLOOKUP(AP76,'Scoring and Weighting'!$B$10:$C$12,2,FALSE),'Scoring and Weighting'!$C$13)</f>
        <v>70</v>
      </c>
      <c r="BK76" s="46">
        <f>VLOOKUP(AL76,'Scoring and Weighting'!$C$19:$F$23,4)</f>
        <v>30</v>
      </c>
      <c r="BL76" s="47">
        <f t="shared" si="10"/>
        <v>40</v>
      </c>
      <c r="BM76" s="46" t="e">
        <f>VLOOKUP('Table with Jurisdictions'!AJ76,'Scoring and Weighting'!$C$35:$F$39,4,1)</f>
        <v>#REF!</v>
      </c>
      <c r="BN76" s="46">
        <f t="shared" si="11"/>
        <v>20</v>
      </c>
      <c r="BO76" s="48">
        <f>IFERROR(VLOOKUP(AM76,'Scoring and Weighting'!$B$63:$C$65,2,FALSE),1)</f>
        <v>1</v>
      </c>
      <c r="BP76" s="49">
        <f>BJ76*'Scoring and Weighting'!$C$55*'Table with Jurisdictions'!BO76</f>
        <v>17.5</v>
      </c>
      <c r="BQ76" s="49">
        <f>BK76*BO76*'Scoring and Weighting'!$C$56</f>
        <v>7.5</v>
      </c>
      <c r="BR76" s="49">
        <f>BO76*BL76*'Scoring and Weighting'!$C$57</f>
        <v>10</v>
      </c>
      <c r="BS76" s="49" t="e">
        <f>BO76*BM76*'Scoring and Weighting'!$C$58</f>
        <v>#REF!</v>
      </c>
      <c r="BT76" s="49">
        <f>BO76*BN76*'Scoring and Weighting'!$C$59</f>
        <v>3</v>
      </c>
      <c r="BU76" s="50" t="e">
        <f t="shared" si="14"/>
        <v>#REF!</v>
      </c>
      <c r="BX76" s="30">
        <f t="shared" si="12"/>
        <v>5</v>
      </c>
    </row>
    <row r="77" spans="1:76" x14ac:dyDescent="0.25">
      <c r="A77" s="35" t="s">
        <v>197</v>
      </c>
      <c r="B77" s="35">
        <v>42</v>
      </c>
      <c r="C77" s="75">
        <v>42586.646979166668</v>
      </c>
      <c r="D77" s="35" t="s">
        <v>394</v>
      </c>
      <c r="E77" s="35">
        <v>4</v>
      </c>
      <c r="F77" s="35">
        <v>7</v>
      </c>
      <c r="G77" s="35">
        <v>724</v>
      </c>
      <c r="H77" s="35" t="s">
        <v>95</v>
      </c>
      <c r="I77" s="35">
        <v>1</v>
      </c>
      <c r="J77" s="35">
        <v>1</v>
      </c>
      <c r="K77" s="35" t="s">
        <v>84</v>
      </c>
      <c r="L77" s="35" t="s">
        <v>50</v>
      </c>
      <c r="M77" s="35" t="s">
        <v>471</v>
      </c>
      <c r="N77" s="30">
        <v>28.076261152776699</v>
      </c>
      <c r="O77">
        <f t="shared" si="13"/>
        <v>5</v>
      </c>
      <c r="P77" s="73">
        <f t="shared" si="15"/>
        <v>1</v>
      </c>
      <c r="Q77" s="73" t="str">
        <f>IF(P77&gt;1,"Multiple",VLOOKUP(O77,[1]Sheet1!$C$6:$D$17,2,0))</f>
        <v>Laguna Niguel</v>
      </c>
      <c r="R77" s="35">
        <v>0</v>
      </c>
      <c r="S77" s="35">
        <v>0</v>
      </c>
      <c r="T77" s="35">
        <v>0</v>
      </c>
      <c r="U77" s="35">
        <v>0</v>
      </c>
      <c r="V77" s="35">
        <v>100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>
        <v>0</v>
      </c>
      <c r="AE77">
        <v>0</v>
      </c>
      <c r="AF77">
        <v>0</v>
      </c>
      <c r="AG77">
        <v>0</v>
      </c>
      <c r="AH77" s="41">
        <v>8.5000000000000006E-2</v>
      </c>
      <c r="AI77" s="41">
        <v>8.5000000000000006E-2</v>
      </c>
      <c r="AJ77" s="53" t="e">
        <f>N77*#REF!/100</f>
        <v>#REF!</v>
      </c>
      <c r="AK77" s="43">
        <v>8.5000000000000006E-2</v>
      </c>
      <c r="AL77" s="43">
        <f t="shared" si="9"/>
        <v>4.8134117150181663E-2</v>
      </c>
      <c r="AM77" s="44"/>
      <c r="AN77" s="44"/>
      <c r="AO77" s="44"/>
      <c r="AP77" s="44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1"/>
      <c r="BC77" s="41"/>
      <c r="BD77" s="41"/>
      <c r="BE77" s="41"/>
      <c r="BF77" s="41"/>
      <c r="BG77" s="41"/>
      <c r="BH77" s="41"/>
      <c r="BI77" s="41"/>
      <c r="BJ77" s="46">
        <f>IFERROR(VLOOKUP(AP77,'Scoring and Weighting'!$B$10:$C$12,2,FALSE),'Scoring and Weighting'!$C$13)</f>
        <v>70</v>
      </c>
      <c r="BK77" s="46">
        <f>VLOOKUP(AL77,'Scoring and Weighting'!$C$19:$F$23,4)</f>
        <v>50</v>
      </c>
      <c r="BL77" s="47">
        <f t="shared" si="10"/>
        <v>40</v>
      </c>
      <c r="BM77" s="46" t="e">
        <f>VLOOKUP('Table with Jurisdictions'!AJ77,'Scoring and Weighting'!$C$35:$F$39,4,1)</f>
        <v>#REF!</v>
      </c>
      <c r="BN77" s="46">
        <f t="shared" si="11"/>
        <v>20</v>
      </c>
      <c r="BO77" s="48">
        <f>IFERROR(VLOOKUP(AM77,'Scoring and Weighting'!$B$63:$C$65,2,FALSE),1)</f>
        <v>1</v>
      </c>
      <c r="BP77" s="49">
        <f>BJ77*'Scoring and Weighting'!$C$55*'Table with Jurisdictions'!BO77</f>
        <v>17.5</v>
      </c>
      <c r="BQ77" s="49">
        <f>BK77*BO77*'Scoring and Weighting'!$C$56</f>
        <v>12.5</v>
      </c>
      <c r="BR77" s="49">
        <f>BO77*BL77*'Scoring and Weighting'!$C$57</f>
        <v>10</v>
      </c>
      <c r="BS77" s="49" t="e">
        <f>BO77*BM77*'Scoring and Weighting'!$C$58</f>
        <v>#REF!</v>
      </c>
      <c r="BT77" s="49">
        <f>BO77*BN77*'Scoring and Weighting'!$C$59</f>
        <v>3</v>
      </c>
      <c r="BU77" s="50" t="e">
        <f t="shared" si="14"/>
        <v>#REF!</v>
      </c>
      <c r="BX77" s="30">
        <f t="shared" si="12"/>
        <v>5</v>
      </c>
    </row>
    <row r="78" spans="1:76" x14ac:dyDescent="0.25">
      <c r="A78" s="35" t="s">
        <v>201</v>
      </c>
      <c r="B78" s="35">
        <v>42</v>
      </c>
      <c r="C78" s="75">
        <v>42578.903252314813</v>
      </c>
      <c r="D78" s="35" t="s">
        <v>394</v>
      </c>
      <c r="E78" s="35">
        <v>14</v>
      </c>
      <c r="F78" s="35">
        <v>14</v>
      </c>
      <c r="G78" s="35">
        <v>52</v>
      </c>
      <c r="H78" s="35" t="s">
        <v>214</v>
      </c>
      <c r="I78" s="35">
        <v>1</v>
      </c>
      <c r="J78" s="35">
        <v>1</v>
      </c>
      <c r="K78" s="35" t="s">
        <v>84</v>
      </c>
      <c r="L78" s="35" t="s">
        <v>50</v>
      </c>
      <c r="M78" s="35" t="s">
        <v>473</v>
      </c>
      <c r="N78" s="30">
        <v>90.832181372580806</v>
      </c>
      <c r="O78">
        <f t="shared" si="13"/>
        <v>5</v>
      </c>
      <c r="P78" s="73">
        <f t="shared" si="15"/>
        <v>1</v>
      </c>
      <c r="Q78" s="73" t="str">
        <f>IF(P78&gt;1,"Multiple",VLOOKUP(O78,[1]Sheet1!$C$6:$D$17,2,0))</f>
        <v>Laguna Niguel</v>
      </c>
      <c r="R78" s="35">
        <v>0</v>
      </c>
      <c r="S78" s="35">
        <v>0</v>
      </c>
      <c r="T78" s="35">
        <v>0</v>
      </c>
      <c r="U78" s="35">
        <v>0</v>
      </c>
      <c r="V78" s="35">
        <v>100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>
        <v>0</v>
      </c>
      <c r="AE78">
        <v>89</v>
      </c>
      <c r="AF78">
        <v>0</v>
      </c>
      <c r="AG78">
        <v>100</v>
      </c>
      <c r="AH78" s="41">
        <v>3.5700000000000003E-2</v>
      </c>
      <c r="AI78" s="41">
        <v>3.5700000000000003E-2</v>
      </c>
      <c r="AJ78" s="53" t="e">
        <f>N78*#REF!/100</f>
        <v>#REF!</v>
      </c>
      <c r="AK78" s="43">
        <v>3.5700000000000003E-2</v>
      </c>
      <c r="AL78" s="43">
        <f t="shared" si="9"/>
        <v>2.02163292030763E-2</v>
      </c>
      <c r="AM78" s="44"/>
      <c r="AN78" s="44"/>
      <c r="AO78" s="44"/>
      <c r="AP78" s="44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1"/>
      <c r="BC78" s="41"/>
      <c r="BD78" s="41"/>
      <c r="BE78" s="41"/>
      <c r="BF78" s="41"/>
      <c r="BG78" s="41"/>
      <c r="BH78" s="41"/>
      <c r="BI78" s="41"/>
      <c r="BJ78" s="46">
        <f>IFERROR(VLOOKUP(AP78,'Scoring and Weighting'!$B$10:$C$12,2,FALSE),'Scoring and Weighting'!$C$13)</f>
        <v>70</v>
      </c>
      <c r="BK78" s="46">
        <f>VLOOKUP(AL78,'Scoring and Weighting'!$C$19:$F$23,4)</f>
        <v>50</v>
      </c>
      <c r="BL78" s="47">
        <f t="shared" si="10"/>
        <v>40</v>
      </c>
      <c r="BM78" s="46" t="e">
        <f>VLOOKUP('Table with Jurisdictions'!AJ78,'Scoring and Weighting'!$C$35:$F$39,4,1)</f>
        <v>#REF!</v>
      </c>
      <c r="BN78" s="46">
        <f t="shared" si="11"/>
        <v>20</v>
      </c>
      <c r="BO78" s="48">
        <f>IFERROR(VLOOKUP(AM78,'Scoring and Weighting'!$B$63:$C$65,2,FALSE),1)</f>
        <v>1</v>
      </c>
      <c r="BP78" s="49">
        <f>BJ78*'Scoring and Weighting'!$C$55*'Table with Jurisdictions'!BO78</f>
        <v>17.5</v>
      </c>
      <c r="BQ78" s="49">
        <f>BK78*BO78*'Scoring and Weighting'!$C$56</f>
        <v>12.5</v>
      </c>
      <c r="BR78" s="49">
        <f>BO78*BL78*'Scoring and Weighting'!$C$57</f>
        <v>10</v>
      </c>
      <c r="BS78" s="49" t="e">
        <f>BO78*BM78*'Scoring and Weighting'!$C$58</f>
        <v>#REF!</v>
      </c>
      <c r="BT78" s="49">
        <f>BO78*BN78*'Scoring and Weighting'!$C$59</f>
        <v>3</v>
      </c>
      <c r="BU78" s="50" t="e">
        <f t="shared" si="14"/>
        <v>#REF!</v>
      </c>
      <c r="BX78" s="30">
        <f t="shared" si="12"/>
        <v>5</v>
      </c>
    </row>
    <row r="79" spans="1:76" x14ac:dyDescent="0.25">
      <c r="A79" s="35" t="s">
        <v>200</v>
      </c>
      <c r="B79" s="35">
        <v>192</v>
      </c>
      <c r="C79" s="75">
        <v>42586.647650462961</v>
      </c>
      <c r="D79" s="35" t="s">
        <v>394</v>
      </c>
      <c r="E79" s="35"/>
      <c r="F79" s="35"/>
      <c r="G79" s="35">
        <v>85</v>
      </c>
      <c r="H79" s="35" t="s">
        <v>214</v>
      </c>
      <c r="I79" s="35">
        <v>1</v>
      </c>
      <c r="J79" s="35">
        <v>0</v>
      </c>
      <c r="K79" s="35" t="s">
        <v>84</v>
      </c>
      <c r="L79" s="35" t="s">
        <v>50</v>
      </c>
      <c r="M79" s="35" t="s">
        <v>474</v>
      </c>
      <c r="N79" s="30">
        <v>1399.04380454125</v>
      </c>
      <c r="O79">
        <f t="shared" si="13"/>
        <v>5</v>
      </c>
      <c r="P79" s="73">
        <f t="shared" si="15"/>
        <v>1</v>
      </c>
      <c r="Q79" s="73" t="str">
        <f>IF(P79&gt;1,"Multiple",VLOOKUP(O79,[1]Sheet1!$C$6:$D$17,2,0))</f>
        <v>Laguna Niguel</v>
      </c>
      <c r="R79" s="35">
        <v>0</v>
      </c>
      <c r="S79" s="35">
        <v>0</v>
      </c>
      <c r="T79" s="35">
        <v>0</v>
      </c>
      <c r="U79" s="35">
        <v>0</v>
      </c>
      <c r="V79" s="35">
        <v>99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1</v>
      </c>
      <c r="AD79">
        <v>0</v>
      </c>
      <c r="AE79">
        <v>39</v>
      </c>
      <c r="AF79">
        <v>0</v>
      </c>
      <c r="AG79">
        <v>100</v>
      </c>
      <c r="AH79" s="41">
        <v>3.5700000000000003E-2</v>
      </c>
      <c r="AI79" s="41">
        <v>3.5700000000000003E-2</v>
      </c>
      <c r="AJ79" s="53" t="e">
        <f>N79*#REF!/100</f>
        <v>#REF!</v>
      </c>
      <c r="AK79" s="43">
        <v>3.5700000000000003E-2</v>
      </c>
      <c r="AL79" s="43">
        <f t="shared" si="9"/>
        <v>2.02163292030763E-2</v>
      </c>
      <c r="AM79" s="44" t="s">
        <v>210</v>
      </c>
      <c r="AN79" s="44" t="s">
        <v>131</v>
      </c>
      <c r="AO79" s="44" t="s">
        <v>53</v>
      </c>
      <c r="AP79" s="44" t="s">
        <v>54</v>
      </c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1"/>
      <c r="BC79" s="41"/>
      <c r="BD79" s="41"/>
      <c r="BE79" s="41"/>
      <c r="BF79" s="41"/>
      <c r="BG79" s="41"/>
      <c r="BH79" s="41"/>
      <c r="BI79" s="41"/>
      <c r="BJ79" s="46">
        <f>IFERROR(VLOOKUP(AP79,'Scoring and Weighting'!$B$10:$C$12,2,FALSE),'Scoring and Weighting'!$C$13)</f>
        <v>100</v>
      </c>
      <c r="BK79" s="46">
        <f>VLOOKUP(AL79,'Scoring and Weighting'!$C$19:$F$23,4)</f>
        <v>50</v>
      </c>
      <c r="BL79" s="47">
        <f t="shared" si="10"/>
        <v>40</v>
      </c>
      <c r="BM79" s="46" t="e">
        <f>VLOOKUP('Table with Jurisdictions'!AJ79,'Scoring and Weighting'!$C$35:$F$39,4,1)</f>
        <v>#REF!</v>
      </c>
      <c r="BN79" s="46">
        <f t="shared" si="11"/>
        <v>20</v>
      </c>
      <c r="BO79" s="48">
        <f>IFERROR(VLOOKUP(AM79,'Scoring and Weighting'!$B$63:$C$65,2,FALSE),1)</f>
        <v>0</v>
      </c>
      <c r="BP79" s="49">
        <f>BJ79*'Scoring and Weighting'!$C$55*'Table with Jurisdictions'!BO79</f>
        <v>0</v>
      </c>
      <c r="BQ79" s="49">
        <f>BK79*BO79*'Scoring and Weighting'!$C$56</f>
        <v>0</v>
      </c>
      <c r="BR79" s="49">
        <f>BO79*BL79*'Scoring and Weighting'!$C$57</f>
        <v>0</v>
      </c>
      <c r="BS79" s="49" t="e">
        <f>BO79*BM79*'Scoring and Weighting'!$C$58</f>
        <v>#REF!</v>
      </c>
      <c r="BT79" s="49">
        <f>BO79*BN79*'Scoring and Weighting'!$C$59</f>
        <v>0</v>
      </c>
      <c r="BU79" s="50" t="e">
        <f t="shared" si="14"/>
        <v>#REF!</v>
      </c>
      <c r="BX79" s="30">
        <f t="shared" si="12"/>
        <v>5</v>
      </c>
    </row>
    <row r="80" spans="1:76" x14ac:dyDescent="0.25">
      <c r="A80" s="35" t="s">
        <v>203</v>
      </c>
      <c r="B80" s="35">
        <v>66</v>
      </c>
      <c r="C80" s="75">
        <v>42570.94771990741</v>
      </c>
      <c r="D80" s="35" t="s">
        <v>394</v>
      </c>
      <c r="E80" s="35"/>
      <c r="F80" s="35"/>
      <c r="G80" s="35">
        <v>223</v>
      </c>
      <c r="H80" s="35" t="s">
        <v>95</v>
      </c>
      <c r="I80" s="35">
        <v>1</v>
      </c>
      <c r="J80" s="35">
        <v>0</v>
      </c>
      <c r="K80" s="35" t="s">
        <v>64</v>
      </c>
      <c r="L80" s="35" t="s">
        <v>50</v>
      </c>
      <c r="M80" s="35" t="s">
        <v>475</v>
      </c>
      <c r="N80" s="30">
        <v>130.498925789358</v>
      </c>
      <c r="O80">
        <f t="shared" si="13"/>
        <v>2</v>
      </c>
      <c r="P80" s="73">
        <f t="shared" si="15"/>
        <v>1</v>
      </c>
      <c r="Q80" s="73" t="str">
        <f>IF(P80&gt;1,"Multiple",VLOOKUP(O80,[1]Sheet1!$C$6:$D$17,2,0))</f>
        <v>Dana Point</v>
      </c>
      <c r="R80" s="35">
        <v>0</v>
      </c>
      <c r="S80" s="35">
        <v>100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>
        <v>80</v>
      </c>
      <c r="AE80">
        <v>0</v>
      </c>
      <c r="AF80">
        <v>0</v>
      </c>
      <c r="AG80">
        <v>0</v>
      </c>
      <c r="AH80" s="41">
        <v>4.7939999999999997E-3</v>
      </c>
      <c r="AI80" s="41">
        <v>4.7939999999999997E-3</v>
      </c>
      <c r="AJ80" s="53" t="e">
        <f>N80*#REF!/100</f>
        <v>#REF!</v>
      </c>
      <c r="AK80" s="43">
        <v>4.7939999999999997E-3</v>
      </c>
      <c r="AL80" s="43">
        <f t="shared" si="9"/>
        <v>2.7147642072702454E-3</v>
      </c>
      <c r="AM80" s="44"/>
      <c r="AN80" s="44"/>
      <c r="AO80" s="44"/>
      <c r="AP80" s="44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1"/>
      <c r="BC80" s="41"/>
      <c r="BD80" s="41"/>
      <c r="BE80" s="41"/>
      <c r="BF80" s="41"/>
      <c r="BG80" s="41"/>
      <c r="BH80" s="41"/>
      <c r="BI80" s="41"/>
      <c r="BJ80" s="46">
        <f>IFERROR(VLOOKUP(AP80,'Scoring and Weighting'!$B$10:$C$12,2,FALSE),'Scoring and Weighting'!$C$13)</f>
        <v>70</v>
      </c>
      <c r="BK80" s="46">
        <f>VLOOKUP(AL80,'Scoring and Weighting'!$C$19:$F$23,4)</f>
        <v>30</v>
      </c>
      <c r="BL80" s="47">
        <f t="shared" si="10"/>
        <v>40</v>
      </c>
      <c r="BM80" s="46" t="e">
        <f>VLOOKUP('Table with Jurisdictions'!AJ80,'Scoring and Weighting'!$C$35:$F$39,4,1)</f>
        <v>#REF!</v>
      </c>
      <c r="BN80" s="46">
        <f t="shared" si="11"/>
        <v>40</v>
      </c>
      <c r="BO80" s="48">
        <f>IFERROR(VLOOKUP(AM80,'Scoring and Weighting'!$B$63:$C$65,2,FALSE),1)</f>
        <v>1</v>
      </c>
      <c r="BP80" s="49">
        <f>BJ80*'Scoring and Weighting'!$C$55*'Table with Jurisdictions'!BO80</f>
        <v>17.5</v>
      </c>
      <c r="BQ80" s="49">
        <f>BK80*BO80*'Scoring and Weighting'!$C$56</f>
        <v>7.5</v>
      </c>
      <c r="BR80" s="49">
        <f>BO80*BL80*'Scoring and Weighting'!$C$57</f>
        <v>10</v>
      </c>
      <c r="BS80" s="49" t="e">
        <f>BO80*BM80*'Scoring and Weighting'!$C$58</f>
        <v>#REF!</v>
      </c>
      <c r="BT80" s="49">
        <f>BO80*BN80*'Scoring and Weighting'!$C$59</f>
        <v>6</v>
      </c>
      <c r="BU80" s="50" t="e">
        <f t="shared" si="14"/>
        <v>#REF!</v>
      </c>
      <c r="BX80" s="30">
        <f t="shared" si="12"/>
        <v>2</v>
      </c>
    </row>
    <row r="81" spans="1:76" x14ac:dyDescent="0.25">
      <c r="A81" s="35" t="s">
        <v>219</v>
      </c>
      <c r="B81" s="35">
        <v>45</v>
      </c>
      <c r="C81" s="75">
        <v>42570.94771990741</v>
      </c>
      <c r="D81" s="35" t="s">
        <v>394</v>
      </c>
      <c r="E81" s="35"/>
      <c r="F81" s="35"/>
      <c r="G81" s="35">
        <v>731</v>
      </c>
      <c r="H81" s="35" t="s">
        <v>95</v>
      </c>
      <c r="I81" s="35">
        <v>1</v>
      </c>
      <c r="J81" s="35">
        <v>0</v>
      </c>
      <c r="K81" s="35" t="s">
        <v>64</v>
      </c>
      <c r="L81" s="35" t="s">
        <v>50</v>
      </c>
      <c r="M81" s="35" t="s">
        <v>476</v>
      </c>
      <c r="N81" s="30">
        <v>113.27048633474899</v>
      </c>
      <c r="O81">
        <f t="shared" si="13"/>
        <v>9</v>
      </c>
      <c r="P81" s="73">
        <f t="shared" si="15"/>
        <v>2</v>
      </c>
      <c r="Q81" s="73" t="str">
        <f>IF(P81&gt;1,"Multiple",VLOOKUP(O81,[1]Sheet1!$C$6:$D$17,2,0))</f>
        <v>Multiple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52</v>
      </c>
      <c r="AA81" s="35">
        <v>48</v>
      </c>
      <c r="AB81" s="35">
        <v>0</v>
      </c>
      <c r="AC81" s="35">
        <v>0</v>
      </c>
      <c r="AD81">
        <v>100</v>
      </c>
      <c r="AE81">
        <v>0</v>
      </c>
      <c r="AF81">
        <v>0</v>
      </c>
      <c r="AG81">
        <v>0</v>
      </c>
      <c r="AH81" s="41">
        <v>1.1900000000000001E-3</v>
      </c>
      <c r="AI81" s="41">
        <v>1.1900000000000001E-3</v>
      </c>
      <c r="AJ81" s="53" t="e">
        <f>N81*#REF!/100</f>
        <v>#REF!</v>
      </c>
      <c r="AK81" s="43">
        <v>1.1900000000000001E-3</v>
      </c>
      <c r="AL81" s="43">
        <f t="shared" si="9"/>
        <v>6.7387764010254337E-4</v>
      </c>
      <c r="AM81" s="44"/>
      <c r="AN81" s="44"/>
      <c r="AO81" s="44"/>
      <c r="AP81" s="44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1"/>
      <c r="BC81" s="41"/>
      <c r="BD81" s="41"/>
      <c r="BE81" s="41"/>
      <c r="BF81" s="41"/>
      <c r="BG81" s="41"/>
      <c r="BH81" s="41"/>
      <c r="BI81" s="41"/>
      <c r="BJ81" s="46">
        <f>IFERROR(VLOOKUP(AP81,'Scoring and Weighting'!$B$10:$C$12,2,FALSE),'Scoring and Weighting'!$C$13)</f>
        <v>70</v>
      </c>
      <c r="BK81" s="46">
        <f>VLOOKUP(AL81,'Scoring and Weighting'!$C$19:$F$23,4)</f>
        <v>30</v>
      </c>
      <c r="BL81" s="47">
        <f t="shared" si="10"/>
        <v>40</v>
      </c>
      <c r="BM81" s="46" t="e">
        <f>VLOOKUP('Table with Jurisdictions'!AJ81,'Scoring and Weighting'!$C$35:$F$39,4,1)</f>
        <v>#REF!</v>
      </c>
      <c r="BN81" s="46">
        <f t="shared" si="11"/>
        <v>40</v>
      </c>
      <c r="BO81" s="48">
        <f>IFERROR(VLOOKUP(AM81,'Scoring and Weighting'!$B$63:$C$65,2,FALSE),1)</f>
        <v>1</v>
      </c>
      <c r="BP81" s="49">
        <f>BJ81*'Scoring and Weighting'!$C$55*'Table with Jurisdictions'!BO81</f>
        <v>17.5</v>
      </c>
      <c r="BQ81" s="49">
        <f>BK81*BO81*'Scoring and Weighting'!$C$56</f>
        <v>7.5</v>
      </c>
      <c r="BR81" s="49">
        <f>BO81*BL81*'Scoring and Weighting'!$C$57</f>
        <v>10</v>
      </c>
      <c r="BS81" s="49" t="e">
        <f>BO81*BM81*'Scoring and Weighting'!$C$58</f>
        <v>#REF!</v>
      </c>
      <c r="BT81" s="49">
        <f>BO81*BN81*'Scoring and Weighting'!$C$59</f>
        <v>6</v>
      </c>
      <c r="BU81" s="50" t="e">
        <f t="shared" si="14"/>
        <v>#REF!</v>
      </c>
      <c r="BX81" s="30">
        <f t="shared" si="12"/>
        <v>9</v>
      </c>
    </row>
    <row r="82" spans="1:76" x14ac:dyDescent="0.25">
      <c r="A82" s="35" t="s">
        <v>248</v>
      </c>
      <c r="B82" s="35">
        <v>36</v>
      </c>
      <c r="C82" s="75">
        <v>42570.94771990741</v>
      </c>
      <c r="D82" s="35" t="s">
        <v>394</v>
      </c>
      <c r="E82" s="35"/>
      <c r="F82" s="35"/>
      <c r="G82" s="35">
        <v>125</v>
      </c>
      <c r="H82" s="35" t="s">
        <v>95</v>
      </c>
      <c r="I82" s="35">
        <v>1</v>
      </c>
      <c r="J82" s="35">
        <v>0</v>
      </c>
      <c r="K82" s="35" t="s">
        <v>64</v>
      </c>
      <c r="L82" s="35" t="s">
        <v>50</v>
      </c>
      <c r="M82" s="35" t="s">
        <v>477</v>
      </c>
      <c r="N82" s="30">
        <v>32.563122791757003</v>
      </c>
      <c r="O82">
        <f t="shared" si="13"/>
        <v>10</v>
      </c>
      <c r="P82" s="73">
        <f t="shared" si="15"/>
        <v>1</v>
      </c>
      <c r="Q82" s="73" t="str">
        <f>IF(P82&gt;1,"Multiple",VLOOKUP(O82,[1]Sheet1!$C$6:$D$17,2,0))</f>
        <v>Rancho Santa Margarita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100</v>
      </c>
      <c r="AB82" s="35">
        <v>0</v>
      </c>
      <c r="AC82" s="35">
        <v>0</v>
      </c>
      <c r="AD82">
        <v>0</v>
      </c>
      <c r="AE82">
        <v>0</v>
      </c>
      <c r="AF82">
        <v>100</v>
      </c>
      <c r="AG82">
        <v>0</v>
      </c>
      <c r="AH82" s="41">
        <v>1.4024999999999999E-2</v>
      </c>
      <c r="AI82" s="41">
        <v>2.0400000000000001E-2</v>
      </c>
      <c r="AJ82" s="53" t="e">
        <f>N82*#REF!/100</f>
        <v>#REF!</v>
      </c>
      <c r="AK82" s="43">
        <v>1.7212499999999999E-2</v>
      </c>
      <c r="AL82" s="43">
        <f t="shared" si="9"/>
        <v>9.7471587229117848E-3</v>
      </c>
      <c r="AM82" s="44"/>
      <c r="AN82" s="44"/>
      <c r="AO82" s="44"/>
      <c r="AP82" s="44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1"/>
      <c r="BC82" s="41"/>
      <c r="BD82" s="41"/>
      <c r="BE82" s="41"/>
      <c r="BF82" s="41"/>
      <c r="BG82" s="41"/>
      <c r="BH82" s="41"/>
      <c r="BI82" s="41"/>
      <c r="BJ82" s="46">
        <f>IFERROR(VLOOKUP(AP82,'Scoring and Weighting'!$B$10:$C$12,2,FALSE),'Scoring and Weighting'!$C$13)</f>
        <v>70</v>
      </c>
      <c r="BK82" s="46">
        <f>VLOOKUP(AL82,'Scoring and Weighting'!$C$19:$F$23,4)</f>
        <v>30</v>
      </c>
      <c r="BL82" s="47">
        <f t="shared" si="10"/>
        <v>40</v>
      </c>
      <c r="BM82" s="46" t="e">
        <f>VLOOKUP('Table with Jurisdictions'!AJ82,'Scoring and Weighting'!$C$35:$F$39,4,1)</f>
        <v>#REF!</v>
      </c>
      <c r="BN82" s="46">
        <f t="shared" si="11"/>
        <v>20</v>
      </c>
      <c r="BO82" s="48">
        <f>IFERROR(VLOOKUP(AM82,'Scoring and Weighting'!$B$63:$C$65,2,FALSE),1)</f>
        <v>1</v>
      </c>
      <c r="BP82" s="49">
        <f>BJ82*'Scoring and Weighting'!$C$55*'Table with Jurisdictions'!BO82</f>
        <v>17.5</v>
      </c>
      <c r="BQ82" s="49">
        <f>BK82*BO82*'Scoring and Weighting'!$C$56</f>
        <v>7.5</v>
      </c>
      <c r="BR82" s="49">
        <f>BO82*BL82*'Scoring and Weighting'!$C$57</f>
        <v>10</v>
      </c>
      <c r="BS82" s="49" t="e">
        <f>BO82*BM82*'Scoring and Weighting'!$C$58</f>
        <v>#REF!</v>
      </c>
      <c r="BT82" s="49">
        <f>BO82*BN82*'Scoring and Weighting'!$C$59</f>
        <v>3</v>
      </c>
      <c r="BU82" s="50" t="e">
        <f t="shared" si="14"/>
        <v>#REF!</v>
      </c>
      <c r="BX82" s="30">
        <f t="shared" si="12"/>
        <v>10</v>
      </c>
    </row>
    <row r="83" spans="1:76" x14ac:dyDescent="0.25">
      <c r="A83" s="35" t="s">
        <v>215</v>
      </c>
      <c r="B83" s="35">
        <v>60</v>
      </c>
      <c r="C83" s="75">
        <v>42570.94771990741</v>
      </c>
      <c r="D83" s="35" t="s">
        <v>394</v>
      </c>
      <c r="E83" s="35"/>
      <c r="F83" s="35"/>
      <c r="G83" s="35">
        <v>622</v>
      </c>
      <c r="H83" s="35" t="s">
        <v>62</v>
      </c>
      <c r="I83" s="35">
        <v>1</v>
      </c>
      <c r="J83" s="35">
        <v>0</v>
      </c>
      <c r="K83" s="35" t="s">
        <v>64</v>
      </c>
      <c r="L83" s="35" t="s">
        <v>50</v>
      </c>
      <c r="M83" s="35" t="s">
        <v>478</v>
      </c>
      <c r="N83" s="30">
        <v>136.87916705776101</v>
      </c>
      <c r="O83">
        <f t="shared" si="13"/>
        <v>10</v>
      </c>
      <c r="P83" s="73">
        <f t="shared" si="15"/>
        <v>1</v>
      </c>
      <c r="Q83" s="73" t="str">
        <f>IF(P83&gt;1,"Multiple",VLOOKUP(O83,[1]Sheet1!$C$6:$D$17,2,0))</f>
        <v>Rancho Santa Margarita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4</v>
      </c>
      <c r="AA83" s="35">
        <v>96</v>
      </c>
      <c r="AB83" s="35">
        <v>0</v>
      </c>
      <c r="AC83" s="35">
        <v>0</v>
      </c>
      <c r="AD83">
        <v>0</v>
      </c>
      <c r="AE83">
        <v>0</v>
      </c>
      <c r="AF83">
        <v>99</v>
      </c>
      <c r="AG83">
        <v>0</v>
      </c>
      <c r="AH83" s="41">
        <v>4.4879999999999998E-3</v>
      </c>
      <c r="AI83" s="41">
        <v>4.4879999999999998E-3</v>
      </c>
      <c r="AJ83" s="53" t="e">
        <f>N83*#REF!/100</f>
        <v>#REF!</v>
      </c>
      <c r="AK83" s="43">
        <v>4.4879999999999998E-3</v>
      </c>
      <c r="AL83" s="43">
        <f t="shared" si="9"/>
        <v>2.5414813855295917E-3</v>
      </c>
      <c r="AM83" s="44"/>
      <c r="AN83" s="44"/>
      <c r="AO83" s="44"/>
      <c r="AP83" s="44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1"/>
      <c r="BC83" s="41"/>
      <c r="BD83" s="41"/>
      <c r="BE83" s="41"/>
      <c r="BF83" s="41"/>
      <c r="BG83" s="41"/>
      <c r="BH83" s="41"/>
      <c r="BI83" s="41"/>
      <c r="BJ83" s="46">
        <f>IFERROR(VLOOKUP(AP83,'Scoring and Weighting'!$B$10:$C$12,2,FALSE),'Scoring and Weighting'!$C$13)</f>
        <v>70</v>
      </c>
      <c r="BK83" s="46">
        <f>VLOOKUP(AL83,'Scoring and Weighting'!$C$19:$F$23,4)</f>
        <v>30</v>
      </c>
      <c r="BL83" s="47">
        <f t="shared" si="10"/>
        <v>40</v>
      </c>
      <c r="BM83" s="46" t="e">
        <f>VLOOKUP('Table with Jurisdictions'!AJ83,'Scoring and Weighting'!$C$35:$F$39,4,1)</f>
        <v>#REF!</v>
      </c>
      <c r="BN83" s="46">
        <f t="shared" si="11"/>
        <v>20</v>
      </c>
      <c r="BO83" s="48">
        <f>IFERROR(VLOOKUP(AM83,'Scoring and Weighting'!$B$63:$C$65,2,FALSE),1)</f>
        <v>1</v>
      </c>
      <c r="BP83" s="49">
        <f>BJ83*'Scoring and Weighting'!$C$55*'Table with Jurisdictions'!BO83</f>
        <v>17.5</v>
      </c>
      <c r="BQ83" s="49">
        <f>BK83*BO83*'Scoring and Weighting'!$C$56</f>
        <v>7.5</v>
      </c>
      <c r="BR83" s="49">
        <f>BO83*BL83*'Scoring and Weighting'!$C$57</f>
        <v>10</v>
      </c>
      <c r="BS83" s="49" t="e">
        <f>BO83*BM83*'Scoring and Weighting'!$C$58</f>
        <v>#REF!</v>
      </c>
      <c r="BT83" s="49">
        <f>BO83*BN83*'Scoring and Weighting'!$C$59</f>
        <v>3</v>
      </c>
      <c r="BU83" s="50" t="e">
        <f t="shared" si="14"/>
        <v>#REF!</v>
      </c>
      <c r="BX83" s="30">
        <f t="shared" si="12"/>
        <v>10</v>
      </c>
    </row>
    <row r="84" spans="1:76" x14ac:dyDescent="0.25">
      <c r="A84" s="35" t="s">
        <v>222</v>
      </c>
      <c r="B84" s="35">
        <v>66</v>
      </c>
      <c r="C84" s="75">
        <v>42570.94771990741</v>
      </c>
      <c r="D84" s="35" t="s">
        <v>394</v>
      </c>
      <c r="E84" s="35"/>
      <c r="F84" s="35"/>
      <c r="G84" s="35">
        <v>261</v>
      </c>
      <c r="H84" s="35" t="s">
        <v>95</v>
      </c>
      <c r="I84" s="35">
        <v>1</v>
      </c>
      <c r="J84" s="35">
        <v>0</v>
      </c>
      <c r="K84" s="35" t="s">
        <v>64</v>
      </c>
      <c r="L84" s="35" t="s">
        <v>50</v>
      </c>
      <c r="M84" s="35" t="s">
        <v>479</v>
      </c>
      <c r="N84" s="30">
        <v>149.63865358626899</v>
      </c>
      <c r="O84">
        <f t="shared" si="13"/>
        <v>9</v>
      </c>
      <c r="P84" s="73">
        <f t="shared" si="15"/>
        <v>1</v>
      </c>
      <c r="Q84" s="73" t="str">
        <f>IF(P84&gt;1,"Multiple",VLOOKUP(O84,[1]Sheet1!$C$6:$D$17,2,0))</f>
        <v>Orange County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100</v>
      </c>
      <c r="AA84" s="35">
        <v>0</v>
      </c>
      <c r="AB84" s="35">
        <v>0</v>
      </c>
      <c r="AC84" s="35">
        <v>0</v>
      </c>
      <c r="AD84">
        <v>0</v>
      </c>
      <c r="AE84">
        <v>0</v>
      </c>
      <c r="AF84">
        <v>1</v>
      </c>
      <c r="AG84">
        <v>0</v>
      </c>
      <c r="AH84" s="41">
        <v>1.0625000000000001E-2</v>
      </c>
      <c r="AI84" s="41">
        <v>4.335E-2</v>
      </c>
      <c r="AJ84" s="53" t="e">
        <f>N84*#REF!/100</f>
        <v>#REF!</v>
      </c>
      <c r="AK84" s="43">
        <v>2.6987500000000001E-2</v>
      </c>
      <c r="AL84" s="43">
        <f t="shared" si="9"/>
        <v>1.5282582195182677E-2</v>
      </c>
      <c r="AM84" s="44"/>
      <c r="AN84" s="44"/>
      <c r="AO84" s="44"/>
      <c r="AP84" s="44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1"/>
      <c r="BC84" s="41"/>
      <c r="BD84" s="41"/>
      <c r="BE84" s="41"/>
      <c r="BF84" s="41"/>
      <c r="BG84" s="41"/>
      <c r="BH84" s="41"/>
      <c r="BI84" s="41"/>
      <c r="BJ84" s="46">
        <f>IFERROR(VLOOKUP(AP84,'Scoring and Weighting'!$B$10:$C$12,2,FALSE),'Scoring and Weighting'!$C$13)</f>
        <v>70</v>
      </c>
      <c r="BK84" s="46">
        <f>VLOOKUP(AL84,'Scoring and Weighting'!$C$19:$F$23,4)</f>
        <v>50</v>
      </c>
      <c r="BL84" s="47">
        <f t="shared" si="10"/>
        <v>40</v>
      </c>
      <c r="BM84" s="46" t="e">
        <f>VLOOKUP('Table with Jurisdictions'!AJ84,'Scoring and Weighting'!$C$35:$F$39,4,1)</f>
        <v>#REF!</v>
      </c>
      <c r="BN84" s="46">
        <f t="shared" si="11"/>
        <v>20</v>
      </c>
      <c r="BO84" s="48">
        <f>IFERROR(VLOOKUP(AM84,'Scoring and Weighting'!$B$63:$C$65,2,FALSE),1)</f>
        <v>1</v>
      </c>
      <c r="BP84" s="49">
        <f>BJ84*'Scoring and Weighting'!$C$55*'Table with Jurisdictions'!BO84</f>
        <v>17.5</v>
      </c>
      <c r="BQ84" s="49">
        <f>BK84*BO84*'Scoring and Weighting'!$C$56</f>
        <v>12.5</v>
      </c>
      <c r="BR84" s="49">
        <f>BO84*BL84*'Scoring and Weighting'!$C$57</f>
        <v>10</v>
      </c>
      <c r="BS84" s="49" t="e">
        <f>BO84*BM84*'Scoring and Weighting'!$C$58</f>
        <v>#REF!</v>
      </c>
      <c r="BT84" s="49">
        <f>BO84*BN84*'Scoring and Weighting'!$C$59</f>
        <v>3</v>
      </c>
      <c r="BU84" s="50" t="e">
        <f t="shared" si="14"/>
        <v>#REF!</v>
      </c>
      <c r="BX84" s="30">
        <f t="shared" si="12"/>
        <v>9</v>
      </c>
    </row>
    <row r="85" spans="1:76" x14ac:dyDescent="0.25">
      <c r="A85" s="35" t="s">
        <v>241</v>
      </c>
      <c r="B85" s="35">
        <v>90</v>
      </c>
      <c r="C85" s="75">
        <v>42570.94771990741</v>
      </c>
      <c r="D85" s="35" t="s">
        <v>394</v>
      </c>
      <c r="E85" s="35"/>
      <c r="F85" s="35"/>
      <c r="G85" s="35">
        <v>455</v>
      </c>
      <c r="H85" s="35" t="s">
        <v>109</v>
      </c>
      <c r="I85" s="35">
        <v>1</v>
      </c>
      <c r="J85" s="35">
        <v>0</v>
      </c>
      <c r="K85" s="35" t="s">
        <v>64</v>
      </c>
      <c r="L85" s="35" t="s">
        <v>50</v>
      </c>
      <c r="M85" s="35" t="s">
        <v>480</v>
      </c>
      <c r="N85" s="30">
        <v>169.471717786239</v>
      </c>
      <c r="O85">
        <f t="shared" si="13"/>
        <v>9</v>
      </c>
      <c r="P85" s="73">
        <f t="shared" si="15"/>
        <v>1</v>
      </c>
      <c r="Q85" s="73" t="str">
        <f>IF(P85&gt;1,"Multiple",VLOOKUP(O85,[1]Sheet1!$C$6:$D$17,2,0))</f>
        <v>Orange County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99</v>
      </c>
      <c r="AA85" s="35">
        <v>1</v>
      </c>
      <c r="AB85" s="35">
        <v>0</v>
      </c>
      <c r="AC85" s="35">
        <v>0</v>
      </c>
      <c r="AD85">
        <v>0</v>
      </c>
      <c r="AE85">
        <v>0</v>
      </c>
      <c r="AF85">
        <v>0</v>
      </c>
      <c r="AG85">
        <v>0</v>
      </c>
      <c r="AH85" s="41">
        <v>2.5500000000000002E-3</v>
      </c>
      <c r="AI85" s="41">
        <v>3.93063583815E-3</v>
      </c>
      <c r="AJ85" s="53" t="e">
        <f>N85*#REF!/100</f>
        <v>#REF!</v>
      </c>
      <c r="AK85" s="43">
        <v>3.2403179190750001E-3</v>
      </c>
      <c r="AL85" s="43">
        <f t="shared" si="9"/>
        <v>1.8349393214186929E-3</v>
      </c>
      <c r="AM85" s="44"/>
      <c r="AN85" s="44"/>
      <c r="AO85" s="44"/>
      <c r="AP85" s="44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1"/>
      <c r="BC85" s="41"/>
      <c r="BD85" s="41"/>
      <c r="BE85" s="41"/>
      <c r="BF85" s="41"/>
      <c r="BG85" s="41"/>
      <c r="BH85" s="41"/>
      <c r="BI85" s="41"/>
      <c r="BJ85" s="46">
        <f>IFERROR(VLOOKUP(AP85,'Scoring and Weighting'!$B$10:$C$12,2,FALSE),'Scoring and Weighting'!$C$13)</f>
        <v>70</v>
      </c>
      <c r="BK85" s="46">
        <f>VLOOKUP(AL85,'Scoring and Weighting'!$C$19:$F$23,4)</f>
        <v>30</v>
      </c>
      <c r="BL85" s="47">
        <f t="shared" si="10"/>
        <v>40</v>
      </c>
      <c r="BM85" s="46" t="e">
        <f>VLOOKUP('Table with Jurisdictions'!AJ85,'Scoring and Weighting'!$C$35:$F$39,4,1)</f>
        <v>#REF!</v>
      </c>
      <c r="BN85" s="46">
        <f t="shared" si="11"/>
        <v>20</v>
      </c>
      <c r="BO85" s="48">
        <f>IFERROR(VLOOKUP(AM85,'Scoring and Weighting'!$B$63:$C$65,2,FALSE),1)</f>
        <v>1</v>
      </c>
      <c r="BP85" s="49">
        <f>BJ85*'Scoring and Weighting'!$C$55*'Table with Jurisdictions'!BO85</f>
        <v>17.5</v>
      </c>
      <c r="BQ85" s="49">
        <f>BK85*BO85*'Scoring and Weighting'!$C$56</f>
        <v>7.5</v>
      </c>
      <c r="BR85" s="49">
        <f>BO85*BL85*'Scoring and Weighting'!$C$57</f>
        <v>10</v>
      </c>
      <c r="BS85" s="49" t="e">
        <f>BO85*BM85*'Scoring and Weighting'!$C$58</f>
        <v>#REF!</v>
      </c>
      <c r="BT85" s="49">
        <f>BO85*BN85*'Scoring and Weighting'!$C$59</f>
        <v>3</v>
      </c>
      <c r="BU85" s="50" t="e">
        <f t="shared" si="14"/>
        <v>#REF!</v>
      </c>
      <c r="BX85" s="30">
        <f t="shared" si="12"/>
        <v>9</v>
      </c>
    </row>
    <row r="86" spans="1:76" x14ac:dyDescent="0.25">
      <c r="A86" s="35" t="s">
        <v>273</v>
      </c>
      <c r="B86" s="35">
        <v>42</v>
      </c>
      <c r="C86" s="75">
        <v>42570.94771990741</v>
      </c>
      <c r="D86" s="35" t="s">
        <v>394</v>
      </c>
      <c r="E86" s="35"/>
      <c r="F86" s="35"/>
      <c r="G86" s="35">
        <v>455</v>
      </c>
      <c r="H86" s="35" t="s">
        <v>109</v>
      </c>
      <c r="I86" s="35">
        <v>1</v>
      </c>
      <c r="J86" s="35">
        <v>0</v>
      </c>
      <c r="K86" s="35" t="s">
        <v>64</v>
      </c>
      <c r="L86" s="35" t="s">
        <v>50</v>
      </c>
      <c r="M86" s="35" t="s">
        <v>481</v>
      </c>
      <c r="N86" s="30">
        <v>117.61491369807</v>
      </c>
      <c r="O86">
        <f t="shared" si="13"/>
        <v>9</v>
      </c>
      <c r="P86" s="73">
        <f t="shared" si="15"/>
        <v>1</v>
      </c>
      <c r="Q86" s="73" t="str">
        <f>IF(P86&gt;1,"Multiple",VLOOKUP(O86,[1]Sheet1!$C$6:$D$17,2,0))</f>
        <v>Orange County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100</v>
      </c>
      <c r="AA86" s="35">
        <v>0</v>
      </c>
      <c r="AB86" s="35">
        <v>0</v>
      </c>
      <c r="AC86" s="35">
        <v>0</v>
      </c>
      <c r="AD86">
        <v>0</v>
      </c>
      <c r="AE86">
        <v>0</v>
      </c>
      <c r="AF86">
        <v>0</v>
      </c>
      <c r="AG86">
        <v>0</v>
      </c>
      <c r="AH86" s="41">
        <v>2.8333333333300002E-4</v>
      </c>
      <c r="AI86" s="41">
        <v>2.8333333333300002E-4</v>
      </c>
      <c r="AJ86" s="53" t="e">
        <f>N86*#REF!/100</f>
        <v>#REF!</v>
      </c>
      <c r="AK86" s="43">
        <v>2.8333333333300002E-4</v>
      </c>
      <c r="AL86" s="43">
        <f t="shared" si="9"/>
        <v>1.6044705716708344E-4</v>
      </c>
      <c r="AM86" s="44"/>
      <c r="AN86" s="44"/>
      <c r="AO86" s="44"/>
      <c r="AP86" s="44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1"/>
      <c r="BC86" s="41"/>
      <c r="BD86" s="41"/>
      <c r="BE86" s="41"/>
      <c r="BF86" s="41"/>
      <c r="BG86" s="41"/>
      <c r="BH86" s="41"/>
      <c r="BI86" s="41"/>
      <c r="BJ86" s="46">
        <f>IFERROR(VLOOKUP(AP86,'Scoring and Weighting'!$B$10:$C$12,2,FALSE),'Scoring and Weighting'!$C$13)</f>
        <v>70</v>
      </c>
      <c r="BK86" s="46">
        <f>VLOOKUP(AL86,'Scoring and Weighting'!$C$19:$F$23,4)</f>
        <v>30</v>
      </c>
      <c r="BL86" s="47">
        <f t="shared" si="10"/>
        <v>40</v>
      </c>
      <c r="BM86" s="46" t="e">
        <f>VLOOKUP('Table with Jurisdictions'!AJ86,'Scoring and Weighting'!$C$35:$F$39,4,1)</f>
        <v>#REF!</v>
      </c>
      <c r="BN86" s="46">
        <f t="shared" si="11"/>
        <v>20</v>
      </c>
      <c r="BO86" s="48">
        <f>IFERROR(VLOOKUP(AM86,'Scoring and Weighting'!$B$63:$C$65,2,FALSE),1)</f>
        <v>1</v>
      </c>
      <c r="BP86" s="49">
        <f>BJ86*'Scoring and Weighting'!$C$55*'Table with Jurisdictions'!BO86</f>
        <v>17.5</v>
      </c>
      <c r="BQ86" s="49">
        <f>BK86*BO86*'Scoring and Weighting'!$C$56</f>
        <v>7.5</v>
      </c>
      <c r="BR86" s="49">
        <f>BO86*BL86*'Scoring and Weighting'!$C$57</f>
        <v>10</v>
      </c>
      <c r="BS86" s="49" t="e">
        <f>BO86*BM86*'Scoring and Weighting'!$C$58</f>
        <v>#REF!</v>
      </c>
      <c r="BT86" s="49">
        <f>BO86*BN86*'Scoring and Weighting'!$C$59</f>
        <v>3</v>
      </c>
      <c r="BU86" s="50" t="e">
        <f t="shared" si="14"/>
        <v>#REF!</v>
      </c>
      <c r="BX86" s="30">
        <f t="shared" si="12"/>
        <v>9</v>
      </c>
    </row>
    <row r="87" spans="1:76" x14ac:dyDescent="0.25">
      <c r="A87" s="35" t="s">
        <v>268</v>
      </c>
      <c r="B87" s="35">
        <v>72</v>
      </c>
      <c r="C87" s="75">
        <v>42570.94771990741</v>
      </c>
      <c r="D87" s="35" t="s">
        <v>394</v>
      </c>
      <c r="E87" s="35">
        <v>3</v>
      </c>
      <c r="F87" s="35">
        <v>8</v>
      </c>
      <c r="G87" s="35">
        <v>418</v>
      </c>
      <c r="H87" s="35" t="s">
        <v>109</v>
      </c>
      <c r="I87" s="35">
        <v>1</v>
      </c>
      <c r="J87" s="35">
        <v>0</v>
      </c>
      <c r="K87" s="35" t="s">
        <v>64</v>
      </c>
      <c r="L87" s="35" t="s">
        <v>50</v>
      </c>
      <c r="M87" s="35" t="s">
        <v>482</v>
      </c>
      <c r="N87" s="30">
        <v>237.79044170954401</v>
      </c>
      <c r="O87">
        <f t="shared" si="13"/>
        <v>9</v>
      </c>
      <c r="P87" s="73">
        <f t="shared" si="15"/>
        <v>1</v>
      </c>
      <c r="Q87" s="73" t="str">
        <f>IF(P87&gt;1,"Multiple",VLOOKUP(O87,[1]Sheet1!$C$6:$D$17,2,0))</f>
        <v>Orange County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100</v>
      </c>
      <c r="AA87" s="35">
        <v>0</v>
      </c>
      <c r="AB87" s="35">
        <v>0</v>
      </c>
      <c r="AC87" s="35">
        <v>0</v>
      </c>
      <c r="AD87">
        <v>0</v>
      </c>
      <c r="AE87">
        <v>98</v>
      </c>
      <c r="AF87">
        <v>0</v>
      </c>
      <c r="AG87">
        <v>0</v>
      </c>
      <c r="AH87" s="41">
        <v>7.4375000000000005E-4</v>
      </c>
      <c r="AI87" s="41">
        <v>1.3600000000000001E-3</v>
      </c>
      <c r="AJ87" s="53" t="e">
        <f>N87*#REF!/100</f>
        <v>#REF!</v>
      </c>
      <c r="AK87" s="43">
        <v>1.1262500000000001E-3</v>
      </c>
      <c r="AL87" s="43">
        <f t="shared" si="9"/>
        <v>6.3777705223990702E-4</v>
      </c>
      <c r="AM87" s="44" t="s">
        <v>52</v>
      </c>
      <c r="AN87" s="44" t="s">
        <v>53</v>
      </c>
      <c r="AO87" s="44" t="s">
        <v>53</v>
      </c>
      <c r="AP87" s="44" t="s">
        <v>114</v>
      </c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1"/>
      <c r="BC87" s="41"/>
      <c r="BD87" s="41"/>
      <c r="BE87" s="41"/>
      <c r="BF87" s="41"/>
      <c r="BG87" s="41"/>
      <c r="BH87" s="41"/>
      <c r="BI87" s="41"/>
      <c r="BJ87" s="46">
        <f>IFERROR(VLOOKUP(AP87,'Scoring and Weighting'!$B$10:$C$12,2,FALSE),'Scoring and Weighting'!$C$13)</f>
        <v>60</v>
      </c>
      <c r="BK87" s="46">
        <f>VLOOKUP(AL87,'Scoring and Weighting'!$C$19:$F$23,4)</f>
        <v>30</v>
      </c>
      <c r="BL87" s="47">
        <f t="shared" si="10"/>
        <v>40</v>
      </c>
      <c r="BM87" s="46" t="e">
        <f>VLOOKUP('Table with Jurisdictions'!AJ87,'Scoring and Weighting'!$C$35:$F$39,4,1)</f>
        <v>#REF!</v>
      </c>
      <c r="BN87" s="46">
        <f t="shared" si="11"/>
        <v>20</v>
      </c>
      <c r="BO87" s="48">
        <f>IFERROR(VLOOKUP(AM87,'Scoring and Weighting'!$B$63:$C$65,2,FALSE),1)</f>
        <v>1</v>
      </c>
      <c r="BP87" s="49">
        <f>BJ87*'Scoring and Weighting'!$C$55*'Table with Jurisdictions'!BO87</f>
        <v>15</v>
      </c>
      <c r="BQ87" s="49">
        <f>BK87*BO87*'Scoring and Weighting'!$C$56</f>
        <v>7.5</v>
      </c>
      <c r="BR87" s="49">
        <f>BO87*BL87*'Scoring and Weighting'!$C$57</f>
        <v>10</v>
      </c>
      <c r="BS87" s="49" t="e">
        <f>BO87*BM87*'Scoring and Weighting'!$C$58</f>
        <v>#REF!</v>
      </c>
      <c r="BT87" s="49">
        <f>BO87*BN87*'Scoring and Weighting'!$C$59</f>
        <v>3</v>
      </c>
      <c r="BU87" s="50" t="e">
        <f t="shared" si="14"/>
        <v>#REF!</v>
      </c>
      <c r="BX87" s="30">
        <f t="shared" si="12"/>
        <v>9</v>
      </c>
    </row>
    <row r="88" spans="1:76" x14ac:dyDescent="0.25">
      <c r="A88" s="35" t="s">
        <v>187</v>
      </c>
      <c r="B88" s="35"/>
      <c r="C88" s="75">
        <v>42570.94771990741</v>
      </c>
      <c r="D88" s="35" t="s">
        <v>394</v>
      </c>
      <c r="E88" s="35"/>
      <c r="F88" s="35"/>
      <c r="G88" s="35">
        <v>708</v>
      </c>
      <c r="H88" s="35" t="s">
        <v>109</v>
      </c>
      <c r="I88" s="35">
        <v>1</v>
      </c>
      <c r="J88" s="35">
        <v>0</v>
      </c>
      <c r="K88" s="35" t="s">
        <v>64</v>
      </c>
      <c r="L88" s="35" t="s">
        <v>50</v>
      </c>
      <c r="M88" s="35" t="s">
        <v>483</v>
      </c>
      <c r="N88" s="30">
        <v>393.00595298273799</v>
      </c>
      <c r="O88">
        <f t="shared" si="13"/>
        <v>12</v>
      </c>
      <c r="P88" s="73">
        <f t="shared" si="15"/>
        <v>1</v>
      </c>
      <c r="Q88" s="73" t="str">
        <f>IF(P88&gt;1,"Multiple",VLOOKUP(O88,[1]Sheet1!$C$6:$D$17,2,0))</f>
        <v>San Juan Capistrano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100</v>
      </c>
      <c r="AD88">
        <v>0</v>
      </c>
      <c r="AE88">
        <v>14</v>
      </c>
      <c r="AF88">
        <v>0</v>
      </c>
      <c r="AG88">
        <v>0</v>
      </c>
      <c r="AH88" s="41">
        <v>2.1249999999999999E-4</v>
      </c>
      <c r="AI88" s="41">
        <v>2.1193333333332998E-2</v>
      </c>
      <c r="AJ88" s="53" t="e">
        <f>N88*#REF!/100</f>
        <v>#REF!</v>
      </c>
      <c r="AK88" s="43">
        <v>1.0702916666666999E-2</v>
      </c>
      <c r="AL88" s="43">
        <f t="shared" si="9"/>
        <v>6.0608875844938952E-3</v>
      </c>
      <c r="AM88" s="44" t="s">
        <v>52</v>
      </c>
      <c r="AN88" s="44" t="s">
        <v>53</v>
      </c>
      <c r="AO88" s="44" t="s">
        <v>53</v>
      </c>
      <c r="AP88" s="44" t="s">
        <v>114</v>
      </c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1"/>
      <c r="BC88" s="41"/>
      <c r="BD88" s="41"/>
      <c r="BE88" s="41"/>
      <c r="BF88" s="41"/>
      <c r="BG88" s="41"/>
      <c r="BH88" s="41"/>
      <c r="BI88" s="41"/>
      <c r="BJ88" s="46">
        <f>IFERROR(VLOOKUP(AP88,'Scoring and Weighting'!$B$10:$C$12,2,FALSE),'Scoring and Weighting'!$C$13)</f>
        <v>60</v>
      </c>
      <c r="BK88" s="46">
        <f>VLOOKUP(AL88,'Scoring and Weighting'!$C$19:$F$23,4)</f>
        <v>30</v>
      </c>
      <c r="BL88" s="47">
        <f t="shared" si="10"/>
        <v>40</v>
      </c>
      <c r="BM88" s="46" t="e">
        <f>VLOOKUP('Table with Jurisdictions'!AJ88,'Scoring and Weighting'!$C$35:$F$39,4,1)</f>
        <v>#REF!</v>
      </c>
      <c r="BN88" s="46">
        <f t="shared" si="11"/>
        <v>20</v>
      </c>
      <c r="BO88" s="48">
        <f>IFERROR(VLOOKUP(AM88,'Scoring and Weighting'!$B$63:$C$65,2,FALSE),1)</f>
        <v>1</v>
      </c>
      <c r="BP88" s="49">
        <f>BJ88*'Scoring and Weighting'!$C$55*'Table with Jurisdictions'!BO88</f>
        <v>15</v>
      </c>
      <c r="BQ88" s="49">
        <f>BK88*BO88*'Scoring and Weighting'!$C$56</f>
        <v>7.5</v>
      </c>
      <c r="BR88" s="49">
        <f>BO88*BL88*'Scoring and Weighting'!$C$57</f>
        <v>10</v>
      </c>
      <c r="BS88" s="49" t="e">
        <f>BO88*BM88*'Scoring and Weighting'!$C$58</f>
        <v>#REF!</v>
      </c>
      <c r="BT88" s="49">
        <f>BO88*BN88*'Scoring and Weighting'!$C$59</f>
        <v>3</v>
      </c>
      <c r="BU88" s="50" t="e">
        <f t="shared" si="14"/>
        <v>#REF!</v>
      </c>
      <c r="BX88" s="30">
        <f t="shared" si="12"/>
        <v>12</v>
      </c>
    </row>
    <row r="89" spans="1:76" x14ac:dyDescent="0.25">
      <c r="A89" s="35" t="s">
        <v>208</v>
      </c>
      <c r="B89" s="35"/>
      <c r="C89" s="75">
        <v>42570.94771990741</v>
      </c>
      <c r="D89" s="35" t="s">
        <v>394</v>
      </c>
      <c r="E89" s="35"/>
      <c r="F89" s="35"/>
      <c r="G89" s="35">
        <v>301</v>
      </c>
      <c r="H89" s="35" t="s">
        <v>102</v>
      </c>
      <c r="I89" s="35">
        <v>1</v>
      </c>
      <c r="J89" s="35">
        <v>0</v>
      </c>
      <c r="K89" s="35" t="s">
        <v>64</v>
      </c>
      <c r="L89" s="35" t="s">
        <v>50</v>
      </c>
      <c r="M89" s="35" t="s">
        <v>484</v>
      </c>
      <c r="N89" s="30">
        <v>278.33419880808901</v>
      </c>
      <c r="O89">
        <f t="shared" si="13"/>
        <v>7</v>
      </c>
      <c r="P89" s="73">
        <f t="shared" si="15"/>
        <v>3</v>
      </c>
      <c r="Q89" s="73" t="str">
        <f>IF(P89&gt;1,"Multiple",VLOOKUP(O89,[1]Sheet1!$C$6:$D$17,2,0))</f>
        <v>Multiple</v>
      </c>
      <c r="R89" s="35">
        <v>0</v>
      </c>
      <c r="S89" s="35">
        <v>37</v>
      </c>
      <c r="T89" s="35">
        <v>0</v>
      </c>
      <c r="U89" s="35">
        <v>0</v>
      </c>
      <c r="V89" s="35">
        <v>24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39</v>
      </c>
      <c r="AD89">
        <v>0</v>
      </c>
      <c r="AE89">
        <v>0</v>
      </c>
      <c r="AF89">
        <v>0</v>
      </c>
      <c r="AG89">
        <v>0</v>
      </c>
      <c r="AH89" s="41">
        <v>2.5500000000000002E-3</v>
      </c>
      <c r="AI89" s="41">
        <v>0.17849999999999999</v>
      </c>
      <c r="AJ89" s="53" t="e">
        <f>N89*#REF!/100</f>
        <v>#REF!</v>
      </c>
      <c r="AK89" s="43">
        <v>9.0524999999999994E-2</v>
      </c>
      <c r="AL89" s="43">
        <f t="shared" si="9"/>
        <v>5.1262834764943463E-2</v>
      </c>
      <c r="AM89" s="44" t="s">
        <v>210</v>
      </c>
      <c r="AN89" s="44" t="s">
        <v>53</v>
      </c>
      <c r="AO89" s="44" t="s">
        <v>53</v>
      </c>
      <c r="AP89" s="44" t="s">
        <v>114</v>
      </c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1"/>
      <c r="BC89" s="41"/>
      <c r="BD89" s="41"/>
      <c r="BE89" s="41"/>
      <c r="BF89" s="41"/>
      <c r="BG89" s="41"/>
      <c r="BH89" s="41"/>
      <c r="BI89" s="41"/>
      <c r="BJ89" s="46">
        <f>IFERROR(VLOOKUP(AP89,'Scoring and Weighting'!$B$10:$C$12,2,FALSE),'Scoring and Weighting'!$C$13)</f>
        <v>60</v>
      </c>
      <c r="BK89" s="46">
        <f>VLOOKUP(AL89,'Scoring and Weighting'!$C$19:$F$23,4)</f>
        <v>70</v>
      </c>
      <c r="BL89" s="47">
        <f t="shared" si="10"/>
        <v>40</v>
      </c>
      <c r="BM89" s="46" t="e">
        <f>VLOOKUP('Table with Jurisdictions'!AJ89,'Scoring and Weighting'!$C$35:$F$39,4,1)</f>
        <v>#REF!</v>
      </c>
      <c r="BN89" s="46">
        <f t="shared" si="11"/>
        <v>20</v>
      </c>
      <c r="BO89" s="48">
        <f>IFERROR(VLOOKUP(AM89,'Scoring and Weighting'!$B$63:$C$65,2,FALSE),1)</f>
        <v>0</v>
      </c>
      <c r="BP89" s="49">
        <f>BJ89*'Scoring and Weighting'!$C$55*'Table with Jurisdictions'!BO89</f>
        <v>0</v>
      </c>
      <c r="BQ89" s="49">
        <f>BK89*BO89*'Scoring and Weighting'!$C$56</f>
        <v>0</v>
      </c>
      <c r="BR89" s="49">
        <f>BO89*BL89*'Scoring and Weighting'!$C$57</f>
        <v>0</v>
      </c>
      <c r="BS89" s="49" t="e">
        <f>BO89*BM89*'Scoring and Weighting'!$C$58</f>
        <v>#REF!</v>
      </c>
      <c r="BT89" s="49">
        <f>BO89*BN89*'Scoring and Weighting'!$C$59</f>
        <v>0</v>
      </c>
      <c r="BU89" s="50" t="e">
        <f t="shared" si="14"/>
        <v>#REF!</v>
      </c>
      <c r="BX89" s="30">
        <f t="shared" si="12"/>
        <v>7</v>
      </c>
    </row>
    <row r="90" spans="1:76" x14ac:dyDescent="0.25">
      <c r="A90" s="35" t="s">
        <v>136</v>
      </c>
      <c r="B90" s="35">
        <v>96</v>
      </c>
      <c r="C90" s="75">
        <v>42570.94771990741</v>
      </c>
      <c r="D90" s="35" t="s">
        <v>394</v>
      </c>
      <c r="E90" s="35"/>
      <c r="F90" s="35"/>
      <c r="G90" s="35">
        <v>9110</v>
      </c>
      <c r="H90" s="35" t="s">
        <v>130</v>
      </c>
      <c r="I90" s="35">
        <v>1</v>
      </c>
      <c r="J90" s="35">
        <v>0</v>
      </c>
      <c r="K90" s="35" t="s">
        <v>64</v>
      </c>
      <c r="L90" s="35" t="s">
        <v>50</v>
      </c>
      <c r="M90" s="35" t="s">
        <v>485</v>
      </c>
      <c r="N90" s="30">
        <v>431.607860052825</v>
      </c>
      <c r="O90">
        <f t="shared" si="13"/>
        <v>2</v>
      </c>
      <c r="P90" s="73">
        <f t="shared" si="15"/>
        <v>1</v>
      </c>
      <c r="Q90" s="73" t="str">
        <f>IF(P90&gt;1,"Multiple",VLOOKUP(O90,[1]Sheet1!$C$6:$D$17,2,0))</f>
        <v>Dana Point</v>
      </c>
      <c r="R90" s="35">
        <v>0</v>
      </c>
      <c r="S90" s="35">
        <v>99</v>
      </c>
      <c r="T90" s="35">
        <v>0</v>
      </c>
      <c r="U90" s="35">
        <v>0</v>
      </c>
      <c r="V90" s="35">
        <v>1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>
        <v>0</v>
      </c>
      <c r="AE90">
        <v>0</v>
      </c>
      <c r="AF90">
        <v>0</v>
      </c>
      <c r="AG90">
        <v>0</v>
      </c>
      <c r="AH90" s="41">
        <v>4.4624999999999998E-2</v>
      </c>
      <c r="AI90" s="41">
        <v>4.4624999999999998E-2</v>
      </c>
      <c r="AJ90" s="53" t="e">
        <f>N90*#REF!/100</f>
        <v>#REF!</v>
      </c>
      <c r="AK90" s="43">
        <v>4.4624999999999998E-2</v>
      </c>
      <c r="AL90" s="43">
        <f t="shared" si="9"/>
        <v>2.5270411503845371E-2</v>
      </c>
      <c r="AM90" s="44"/>
      <c r="AN90" s="44"/>
      <c r="AO90" s="44"/>
      <c r="AP90" s="44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1"/>
      <c r="BC90" s="41"/>
      <c r="BD90" s="41"/>
      <c r="BE90" s="41"/>
      <c r="BF90" s="41"/>
      <c r="BG90" s="41"/>
      <c r="BH90" s="41"/>
      <c r="BI90" s="41"/>
      <c r="BJ90" s="46">
        <f>IFERROR(VLOOKUP(AP90,'Scoring and Weighting'!$B$10:$C$12,2,FALSE),'Scoring and Weighting'!$C$13)</f>
        <v>70</v>
      </c>
      <c r="BK90" s="46">
        <f>VLOOKUP(AL90,'Scoring and Weighting'!$C$19:$F$23,4)</f>
        <v>50</v>
      </c>
      <c r="BL90" s="47">
        <f t="shared" si="10"/>
        <v>40</v>
      </c>
      <c r="BM90" s="46" t="e">
        <f>VLOOKUP('Table with Jurisdictions'!AJ90,'Scoring and Weighting'!$C$35:$F$39,4,1)</f>
        <v>#REF!</v>
      </c>
      <c r="BN90" s="46">
        <f t="shared" si="11"/>
        <v>20</v>
      </c>
      <c r="BO90" s="48">
        <f>IFERROR(VLOOKUP(AM90,'Scoring and Weighting'!$B$63:$C$65,2,FALSE),1)</f>
        <v>1</v>
      </c>
      <c r="BP90" s="49">
        <f>BJ90*'Scoring and Weighting'!$C$55*'Table with Jurisdictions'!BO90</f>
        <v>17.5</v>
      </c>
      <c r="BQ90" s="49">
        <f>BK90*BO90*'Scoring and Weighting'!$C$56</f>
        <v>12.5</v>
      </c>
      <c r="BR90" s="49">
        <f>BO90*BL90*'Scoring and Weighting'!$C$57</f>
        <v>10</v>
      </c>
      <c r="BS90" s="49" t="e">
        <f>BO90*BM90*'Scoring and Weighting'!$C$58</f>
        <v>#REF!</v>
      </c>
      <c r="BT90" s="49">
        <f>BO90*BN90*'Scoring and Weighting'!$C$59</f>
        <v>3</v>
      </c>
      <c r="BU90" s="50" t="e">
        <f t="shared" si="14"/>
        <v>#REF!</v>
      </c>
      <c r="BX90" s="30">
        <f t="shared" si="12"/>
        <v>2</v>
      </c>
    </row>
    <row r="91" spans="1:76" x14ac:dyDescent="0.25">
      <c r="A91" s="35" t="s">
        <v>206</v>
      </c>
      <c r="B91" s="35"/>
      <c r="C91" s="75">
        <v>42570.94771990741</v>
      </c>
      <c r="D91" s="35" t="s">
        <v>394</v>
      </c>
      <c r="E91" s="35"/>
      <c r="F91" s="35"/>
      <c r="G91" s="35">
        <v>9110</v>
      </c>
      <c r="H91" s="35" t="s">
        <v>130</v>
      </c>
      <c r="I91" s="35">
        <v>1</v>
      </c>
      <c r="J91" s="35">
        <v>0</v>
      </c>
      <c r="K91" s="35" t="s">
        <v>64</v>
      </c>
      <c r="L91" s="35" t="s">
        <v>50</v>
      </c>
      <c r="M91" s="35" t="s">
        <v>486</v>
      </c>
      <c r="N91" s="30">
        <v>1039.8809776061901</v>
      </c>
      <c r="O91">
        <f t="shared" si="13"/>
        <v>11</v>
      </c>
      <c r="P91" s="73">
        <f t="shared" si="15"/>
        <v>2</v>
      </c>
      <c r="Q91" s="73" t="str">
        <f>IF(P91&gt;1,"Multiple",VLOOKUP(O91,[1]Sheet1!$C$6:$D$17,2,0))</f>
        <v>Multiple</v>
      </c>
      <c r="R91" s="35">
        <v>0</v>
      </c>
      <c r="S91" s="35">
        <v>11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  <c r="AC91" s="35">
        <v>89</v>
      </c>
      <c r="AD91">
        <v>0</v>
      </c>
      <c r="AE91">
        <v>0</v>
      </c>
      <c r="AF91">
        <v>0</v>
      </c>
      <c r="AG91">
        <v>0</v>
      </c>
      <c r="AH91" s="41">
        <v>1.2749999999999999E-2</v>
      </c>
      <c r="AI91" s="41">
        <v>1.2749999999999999E-2</v>
      </c>
      <c r="AJ91" s="53" t="e">
        <f>N91*#REF!/100</f>
        <v>#REF!</v>
      </c>
      <c r="AK91" s="43">
        <v>1.2749999999999999E-2</v>
      </c>
      <c r="AL91" s="43">
        <f t="shared" si="9"/>
        <v>7.2201175725272477E-3</v>
      </c>
      <c r="AM91" s="44"/>
      <c r="AN91" s="44"/>
      <c r="AO91" s="44"/>
      <c r="AP91" s="44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1"/>
      <c r="BC91" s="41"/>
      <c r="BD91" s="41"/>
      <c r="BE91" s="41"/>
      <c r="BF91" s="41"/>
      <c r="BG91" s="41"/>
      <c r="BH91" s="41"/>
      <c r="BI91" s="41"/>
      <c r="BJ91" s="46">
        <f>IFERROR(VLOOKUP(AP91,'Scoring and Weighting'!$B$10:$C$12,2,FALSE),'Scoring and Weighting'!$C$13)</f>
        <v>70</v>
      </c>
      <c r="BK91" s="46">
        <f>VLOOKUP(AL91,'Scoring and Weighting'!$C$19:$F$23,4)</f>
        <v>30</v>
      </c>
      <c r="BL91" s="47">
        <f t="shared" si="10"/>
        <v>40</v>
      </c>
      <c r="BM91" s="46" t="e">
        <f>VLOOKUP('Table with Jurisdictions'!AJ91,'Scoring and Weighting'!$C$35:$F$39,4,1)</f>
        <v>#REF!</v>
      </c>
      <c r="BN91" s="46">
        <f t="shared" si="11"/>
        <v>20</v>
      </c>
      <c r="BO91" s="48">
        <f>IFERROR(VLOOKUP(AM91,'Scoring and Weighting'!$B$63:$C$65,2,FALSE),1)</f>
        <v>1</v>
      </c>
      <c r="BP91" s="49">
        <f>BJ91*'Scoring and Weighting'!$C$55*'Table with Jurisdictions'!BO91</f>
        <v>17.5</v>
      </c>
      <c r="BQ91" s="49">
        <f>BK91*BO91*'Scoring and Weighting'!$C$56</f>
        <v>7.5</v>
      </c>
      <c r="BR91" s="49">
        <f>BO91*BL91*'Scoring and Weighting'!$C$57</f>
        <v>10</v>
      </c>
      <c r="BS91" s="49" t="e">
        <f>BO91*BM91*'Scoring and Weighting'!$C$58</f>
        <v>#REF!</v>
      </c>
      <c r="BT91" s="49">
        <f>BO91*BN91*'Scoring and Weighting'!$C$59</f>
        <v>3</v>
      </c>
      <c r="BU91" s="50" t="e">
        <f t="shared" si="14"/>
        <v>#REF!</v>
      </c>
      <c r="BX91" s="30">
        <f t="shared" si="12"/>
        <v>11</v>
      </c>
    </row>
    <row r="92" spans="1:76" x14ac:dyDescent="0.25">
      <c r="A92" s="35" t="s">
        <v>146</v>
      </c>
      <c r="B92" s="35">
        <v>60</v>
      </c>
      <c r="C92" s="75">
        <v>42570.94771990741</v>
      </c>
      <c r="D92" s="35" t="s">
        <v>394</v>
      </c>
      <c r="E92" s="35"/>
      <c r="F92" s="35"/>
      <c r="G92" s="35">
        <v>9110</v>
      </c>
      <c r="H92" s="35" t="s">
        <v>130</v>
      </c>
      <c r="I92" s="35">
        <v>1</v>
      </c>
      <c r="J92" s="35">
        <v>0</v>
      </c>
      <c r="K92" s="35" t="s">
        <v>64</v>
      </c>
      <c r="L92" s="35" t="s">
        <v>50</v>
      </c>
      <c r="M92" s="35" t="s">
        <v>487</v>
      </c>
      <c r="N92" s="30">
        <v>24.723724984385399</v>
      </c>
      <c r="O92">
        <f t="shared" si="13"/>
        <v>2</v>
      </c>
      <c r="P92" s="73">
        <f t="shared" si="15"/>
        <v>1</v>
      </c>
      <c r="Q92" s="73" t="str">
        <f>IF(P92&gt;1,"Multiple",VLOOKUP(O92,[1]Sheet1!$C$6:$D$17,2,0))</f>
        <v>Dana Point</v>
      </c>
      <c r="R92" s="35">
        <v>0</v>
      </c>
      <c r="S92" s="35">
        <v>100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>
        <v>0</v>
      </c>
      <c r="AE92">
        <v>0</v>
      </c>
      <c r="AF92">
        <v>0</v>
      </c>
      <c r="AG92">
        <v>0</v>
      </c>
      <c r="AH92" s="41">
        <v>1.0200000000000001E-3</v>
      </c>
      <c r="AI92" s="41">
        <v>1.0200000000000001E-3</v>
      </c>
      <c r="AJ92" s="53" t="e">
        <f>N92*#REF!/100</f>
        <v>#REF!</v>
      </c>
      <c r="AK92" s="43">
        <v>1.0200000000000001E-3</v>
      </c>
      <c r="AL92" s="43">
        <f t="shared" si="9"/>
        <v>5.7760940580217992E-4</v>
      </c>
      <c r="AM92" s="44"/>
      <c r="AN92" s="44"/>
      <c r="AO92" s="44"/>
      <c r="AP92" s="44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1"/>
      <c r="BC92" s="41"/>
      <c r="BD92" s="41"/>
      <c r="BE92" s="41"/>
      <c r="BF92" s="41"/>
      <c r="BG92" s="41"/>
      <c r="BH92" s="41"/>
      <c r="BI92" s="41"/>
      <c r="BJ92" s="46">
        <f>IFERROR(VLOOKUP(AP92,'Scoring and Weighting'!$B$10:$C$12,2,FALSE),'Scoring and Weighting'!$C$13)</f>
        <v>70</v>
      </c>
      <c r="BK92" s="46">
        <f>VLOOKUP(AL92,'Scoring and Weighting'!$C$19:$F$23,4)</f>
        <v>30</v>
      </c>
      <c r="BL92" s="47">
        <f t="shared" si="10"/>
        <v>40</v>
      </c>
      <c r="BM92" s="46" t="e">
        <f>VLOOKUP('Table with Jurisdictions'!AJ92,'Scoring and Weighting'!$C$35:$F$39,4,1)</f>
        <v>#REF!</v>
      </c>
      <c r="BN92" s="46">
        <f t="shared" si="11"/>
        <v>20</v>
      </c>
      <c r="BO92" s="48">
        <f>IFERROR(VLOOKUP(AM92,'Scoring and Weighting'!$B$63:$C$65,2,FALSE),1)</f>
        <v>1</v>
      </c>
      <c r="BP92" s="49">
        <f>BJ92*'Scoring and Weighting'!$C$55*'Table with Jurisdictions'!BO92</f>
        <v>17.5</v>
      </c>
      <c r="BQ92" s="49">
        <f>BK92*BO92*'Scoring and Weighting'!$C$56</f>
        <v>7.5</v>
      </c>
      <c r="BR92" s="49">
        <f>BO92*BL92*'Scoring and Weighting'!$C$57</f>
        <v>10</v>
      </c>
      <c r="BS92" s="49" t="e">
        <f>BO92*BM92*'Scoring and Weighting'!$C$58</f>
        <v>#REF!</v>
      </c>
      <c r="BT92" s="49">
        <f>BO92*BN92*'Scoring and Weighting'!$C$59</f>
        <v>3</v>
      </c>
      <c r="BU92" s="50" t="e">
        <f t="shared" si="14"/>
        <v>#REF!</v>
      </c>
      <c r="BX92" s="30">
        <f t="shared" si="12"/>
        <v>2</v>
      </c>
    </row>
    <row r="93" spans="1:76" x14ac:dyDescent="0.25">
      <c r="A93" s="35" t="s">
        <v>247</v>
      </c>
      <c r="B93" s="35">
        <v>36</v>
      </c>
      <c r="C93" s="75">
        <v>42570.94771990741</v>
      </c>
      <c r="D93" s="35" t="s">
        <v>394</v>
      </c>
      <c r="E93" s="35"/>
      <c r="F93" s="35"/>
      <c r="G93" s="35">
        <v>9109</v>
      </c>
      <c r="H93" s="35" t="s">
        <v>130</v>
      </c>
      <c r="I93" s="35">
        <v>1</v>
      </c>
      <c r="J93" s="35">
        <v>0</v>
      </c>
      <c r="K93" s="35" t="s">
        <v>64</v>
      </c>
      <c r="L93" s="35" t="s">
        <v>50</v>
      </c>
      <c r="M93" s="35" t="s">
        <v>488</v>
      </c>
      <c r="N93" s="30">
        <v>32.582389432164099</v>
      </c>
      <c r="O93">
        <f t="shared" si="13"/>
        <v>10</v>
      </c>
      <c r="P93" s="73">
        <f t="shared" si="15"/>
        <v>2</v>
      </c>
      <c r="Q93" s="73" t="str">
        <f>IF(P93&gt;1,"Multiple",VLOOKUP(O93,[1]Sheet1!$C$6:$D$17,2,0))</f>
        <v>Multiple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13</v>
      </c>
      <c r="AA93" s="35">
        <v>87</v>
      </c>
      <c r="AB93" s="35">
        <v>0</v>
      </c>
      <c r="AC93" s="35">
        <v>0</v>
      </c>
      <c r="AD93">
        <v>0</v>
      </c>
      <c r="AE93">
        <v>0</v>
      </c>
      <c r="AF93">
        <v>0</v>
      </c>
      <c r="AG93">
        <v>0</v>
      </c>
      <c r="AH93" s="41">
        <v>3.3660000000000002E-2</v>
      </c>
      <c r="AI93" s="41">
        <v>8.4150000000000003E-2</v>
      </c>
      <c r="AJ93" s="53" t="e">
        <f>N93*#REF!/100</f>
        <v>#REF!</v>
      </c>
      <c r="AK93" s="43">
        <v>5.8904999999999999E-2</v>
      </c>
      <c r="AL93" s="43">
        <f t="shared" si="9"/>
        <v>3.3356943185075885E-2</v>
      </c>
      <c r="AM93" s="44"/>
      <c r="AN93" s="44"/>
      <c r="AO93" s="44"/>
      <c r="AP93" s="44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1"/>
      <c r="BC93" s="41"/>
      <c r="BD93" s="41"/>
      <c r="BE93" s="41"/>
      <c r="BF93" s="41"/>
      <c r="BG93" s="41"/>
      <c r="BH93" s="41"/>
      <c r="BI93" s="41"/>
      <c r="BJ93" s="46">
        <f>IFERROR(VLOOKUP(AP93,'Scoring and Weighting'!$B$10:$C$12,2,FALSE),'Scoring and Weighting'!$C$13)</f>
        <v>70</v>
      </c>
      <c r="BK93" s="46">
        <f>VLOOKUP(AL93,'Scoring and Weighting'!$C$19:$F$23,4)</f>
        <v>50</v>
      </c>
      <c r="BL93" s="47">
        <f t="shared" si="10"/>
        <v>40</v>
      </c>
      <c r="BM93" s="46" t="e">
        <f>VLOOKUP('Table with Jurisdictions'!AJ93,'Scoring and Weighting'!$C$35:$F$39,4,1)</f>
        <v>#REF!</v>
      </c>
      <c r="BN93" s="46">
        <f t="shared" si="11"/>
        <v>20</v>
      </c>
      <c r="BO93" s="48">
        <f>IFERROR(VLOOKUP(AM93,'Scoring and Weighting'!$B$63:$C$65,2,FALSE),1)</f>
        <v>1</v>
      </c>
      <c r="BP93" s="49">
        <f>BJ93*'Scoring and Weighting'!$C$55*'Table with Jurisdictions'!BO93</f>
        <v>17.5</v>
      </c>
      <c r="BQ93" s="49">
        <f>BK93*BO93*'Scoring and Weighting'!$C$56</f>
        <v>12.5</v>
      </c>
      <c r="BR93" s="49">
        <f>BO93*BL93*'Scoring and Weighting'!$C$57</f>
        <v>10</v>
      </c>
      <c r="BS93" s="49" t="e">
        <f>BO93*BM93*'Scoring and Weighting'!$C$58</f>
        <v>#REF!</v>
      </c>
      <c r="BT93" s="49">
        <f>BO93*BN93*'Scoring and Weighting'!$C$59</f>
        <v>3</v>
      </c>
      <c r="BU93" s="50" t="e">
        <f t="shared" si="14"/>
        <v>#REF!</v>
      </c>
      <c r="BX93" s="30">
        <f t="shared" si="12"/>
        <v>10</v>
      </c>
    </row>
    <row r="94" spans="1:76" x14ac:dyDescent="0.25">
      <c r="A94" s="35" t="s">
        <v>217</v>
      </c>
      <c r="B94" s="35">
        <v>108</v>
      </c>
      <c r="C94" s="75">
        <v>42570.947743055556</v>
      </c>
      <c r="D94" s="35" t="s">
        <v>394</v>
      </c>
      <c r="E94" s="35"/>
      <c r="F94" s="35"/>
      <c r="G94" s="35">
        <v>74</v>
      </c>
      <c r="H94" s="35" t="s">
        <v>109</v>
      </c>
      <c r="I94" s="35">
        <v>1</v>
      </c>
      <c r="J94" s="35">
        <v>0</v>
      </c>
      <c r="K94" s="35" t="s">
        <v>64</v>
      </c>
      <c r="L94" s="35" t="s">
        <v>50</v>
      </c>
      <c r="M94" s="35" t="s">
        <v>489</v>
      </c>
      <c r="N94" s="30">
        <v>54.777602136512598</v>
      </c>
      <c r="O94">
        <f t="shared" si="13"/>
        <v>10</v>
      </c>
      <c r="P94" s="73">
        <f t="shared" si="15"/>
        <v>1</v>
      </c>
      <c r="Q94" s="73" t="str">
        <f>IF(P94&gt;1,"Multiple",VLOOKUP(O94,[1]Sheet1!$C$6:$D$17,2,0))</f>
        <v>Rancho Santa Margarita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100</v>
      </c>
      <c r="AB94" s="35">
        <v>0</v>
      </c>
      <c r="AC94" s="35">
        <v>0</v>
      </c>
      <c r="AD94">
        <v>0</v>
      </c>
      <c r="AE94">
        <v>0</v>
      </c>
      <c r="AF94">
        <v>34</v>
      </c>
      <c r="AG94">
        <v>0</v>
      </c>
      <c r="AH94" s="41">
        <v>3.8249999999999999E-2</v>
      </c>
      <c r="AI94" s="41">
        <v>3.8249999999999999E-2</v>
      </c>
      <c r="AJ94" s="53" t="e">
        <f>N94*#REF!/100</f>
        <v>#REF!</v>
      </c>
      <c r="AK94" s="43">
        <v>3.8249999999999999E-2</v>
      </c>
      <c r="AL94" s="43">
        <f t="shared" si="9"/>
        <v>2.1660352717581748E-2</v>
      </c>
      <c r="AM94" s="44"/>
      <c r="AN94" s="44"/>
      <c r="AO94" s="44"/>
      <c r="AP94" s="44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1"/>
      <c r="BC94" s="41"/>
      <c r="BD94" s="41"/>
      <c r="BE94" s="41"/>
      <c r="BF94" s="41"/>
      <c r="BG94" s="41"/>
      <c r="BH94" s="41"/>
      <c r="BI94" s="41"/>
      <c r="BJ94" s="46">
        <f>IFERROR(VLOOKUP(AP94,'Scoring and Weighting'!$B$10:$C$12,2,FALSE),'Scoring and Weighting'!$C$13)</f>
        <v>70</v>
      </c>
      <c r="BK94" s="46">
        <f>VLOOKUP(AL94,'Scoring and Weighting'!$C$19:$F$23,4)</f>
        <v>50</v>
      </c>
      <c r="BL94" s="47">
        <f t="shared" si="10"/>
        <v>40</v>
      </c>
      <c r="BM94" s="46" t="e">
        <f>VLOOKUP('Table with Jurisdictions'!AJ94,'Scoring and Weighting'!$C$35:$F$39,4,1)</f>
        <v>#REF!</v>
      </c>
      <c r="BN94" s="46">
        <f t="shared" si="11"/>
        <v>20</v>
      </c>
      <c r="BO94" s="48">
        <f>IFERROR(VLOOKUP(AM94,'Scoring and Weighting'!$B$63:$C$65,2,FALSE),1)</f>
        <v>1</v>
      </c>
      <c r="BP94" s="49">
        <f>BJ94*'Scoring and Weighting'!$C$55*'Table with Jurisdictions'!BO94</f>
        <v>17.5</v>
      </c>
      <c r="BQ94" s="49">
        <f>BK94*BO94*'Scoring and Weighting'!$C$56</f>
        <v>12.5</v>
      </c>
      <c r="BR94" s="49">
        <f>BO94*BL94*'Scoring and Weighting'!$C$57</f>
        <v>10</v>
      </c>
      <c r="BS94" s="49" t="e">
        <f>BO94*BM94*'Scoring and Weighting'!$C$58</f>
        <v>#REF!</v>
      </c>
      <c r="BT94" s="49">
        <f>BO94*BN94*'Scoring and Weighting'!$C$59</f>
        <v>3</v>
      </c>
      <c r="BU94" s="50" t="e">
        <f t="shared" si="14"/>
        <v>#REF!</v>
      </c>
      <c r="BX94" s="30">
        <f t="shared" si="12"/>
        <v>10</v>
      </c>
    </row>
    <row r="95" spans="1:76" x14ac:dyDescent="0.25">
      <c r="A95" s="35" t="s">
        <v>244</v>
      </c>
      <c r="B95" s="35">
        <v>84</v>
      </c>
      <c r="C95" s="75">
        <v>42570.947743055556</v>
      </c>
      <c r="D95" s="35" t="s">
        <v>394</v>
      </c>
      <c r="E95" s="35"/>
      <c r="F95" s="35"/>
      <c r="G95" s="35">
        <v>172</v>
      </c>
      <c r="H95" s="35" t="s">
        <v>109</v>
      </c>
      <c r="I95" s="35">
        <v>1</v>
      </c>
      <c r="J95" s="35">
        <v>0</v>
      </c>
      <c r="K95" s="35" t="s">
        <v>64</v>
      </c>
      <c r="L95" s="35" t="s">
        <v>50</v>
      </c>
      <c r="M95" s="35" t="s">
        <v>490</v>
      </c>
      <c r="N95" s="30">
        <v>240.61672040516899</v>
      </c>
      <c r="O95">
        <f t="shared" si="13"/>
        <v>11</v>
      </c>
      <c r="P95" s="73">
        <f t="shared" si="15"/>
        <v>2</v>
      </c>
      <c r="Q95" s="73" t="str">
        <f>IF(P95&gt;1,"Multiple",VLOOKUP(O95,[1]Sheet1!$C$6:$D$17,2,0))</f>
        <v>Multiple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18</v>
      </c>
      <c r="AA95" s="35">
        <v>0</v>
      </c>
      <c r="AB95" s="35">
        <v>0</v>
      </c>
      <c r="AC95" s="35">
        <v>82</v>
      </c>
      <c r="AD95">
        <v>0</v>
      </c>
      <c r="AE95">
        <v>0</v>
      </c>
      <c r="AF95">
        <v>13</v>
      </c>
      <c r="AG95">
        <v>0</v>
      </c>
      <c r="AH95" s="41">
        <v>3.4000000000000002E-2</v>
      </c>
      <c r="AI95" s="41">
        <v>3.4000000000000002E-2</v>
      </c>
      <c r="AJ95" s="53" t="e">
        <f>N95*#REF!/100</f>
        <v>#REF!</v>
      </c>
      <c r="AK95" s="43">
        <v>3.4000000000000002E-2</v>
      </c>
      <c r="AL95" s="43">
        <f t="shared" si="9"/>
        <v>1.9253646860072665E-2</v>
      </c>
      <c r="AM95" s="44"/>
      <c r="AN95" s="44"/>
      <c r="AO95" s="44"/>
      <c r="AP95" s="44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1"/>
      <c r="BC95" s="41"/>
      <c r="BD95" s="41"/>
      <c r="BE95" s="41"/>
      <c r="BF95" s="41"/>
      <c r="BG95" s="41"/>
      <c r="BH95" s="41"/>
      <c r="BI95" s="41"/>
      <c r="BJ95" s="46">
        <f>IFERROR(VLOOKUP(AP95,'Scoring and Weighting'!$B$10:$C$12,2,FALSE),'Scoring and Weighting'!$C$13)</f>
        <v>70</v>
      </c>
      <c r="BK95" s="46">
        <f>VLOOKUP(AL95,'Scoring and Weighting'!$C$19:$F$23,4)</f>
        <v>50</v>
      </c>
      <c r="BL95" s="47">
        <f t="shared" si="10"/>
        <v>40</v>
      </c>
      <c r="BM95" s="46" t="e">
        <f>VLOOKUP('Table with Jurisdictions'!AJ95,'Scoring and Weighting'!$C$35:$F$39,4,1)</f>
        <v>#REF!</v>
      </c>
      <c r="BN95" s="46">
        <f t="shared" si="11"/>
        <v>20</v>
      </c>
      <c r="BO95" s="48">
        <f>IFERROR(VLOOKUP(AM95,'Scoring and Weighting'!$B$63:$C$65,2,FALSE),1)</f>
        <v>1</v>
      </c>
      <c r="BP95" s="49">
        <f>BJ95*'Scoring and Weighting'!$C$55*'Table with Jurisdictions'!BO95</f>
        <v>17.5</v>
      </c>
      <c r="BQ95" s="49">
        <f>BK95*BO95*'Scoring and Weighting'!$C$56</f>
        <v>12.5</v>
      </c>
      <c r="BR95" s="49">
        <f>BO95*BL95*'Scoring and Weighting'!$C$57</f>
        <v>10</v>
      </c>
      <c r="BS95" s="49" t="e">
        <f>BO95*BM95*'Scoring and Weighting'!$C$58</f>
        <v>#REF!</v>
      </c>
      <c r="BT95" s="49">
        <f>BO95*BN95*'Scoring and Weighting'!$C$59</f>
        <v>3</v>
      </c>
      <c r="BU95" s="50" t="e">
        <f t="shared" si="14"/>
        <v>#REF!</v>
      </c>
      <c r="BX95" s="30">
        <f t="shared" si="12"/>
        <v>11</v>
      </c>
    </row>
    <row r="96" spans="1:76" x14ac:dyDescent="0.25">
      <c r="A96" s="35" t="s">
        <v>186</v>
      </c>
      <c r="B96" s="35">
        <v>54</v>
      </c>
      <c r="C96" s="75">
        <v>42570.947743055556</v>
      </c>
      <c r="D96" s="35" t="s">
        <v>394</v>
      </c>
      <c r="E96" s="35"/>
      <c r="F96" s="35"/>
      <c r="G96" s="35">
        <v>142</v>
      </c>
      <c r="H96" s="35" t="s">
        <v>109</v>
      </c>
      <c r="I96" s="35">
        <v>1</v>
      </c>
      <c r="J96" s="35">
        <v>0</v>
      </c>
      <c r="K96" s="35" t="s">
        <v>64</v>
      </c>
      <c r="L96" s="35" t="s">
        <v>50</v>
      </c>
      <c r="M96" s="35" t="s">
        <v>491</v>
      </c>
      <c r="N96" s="30">
        <v>105.665477920504</v>
      </c>
      <c r="O96">
        <f t="shared" si="13"/>
        <v>12</v>
      </c>
      <c r="P96" s="73">
        <f t="shared" si="15"/>
        <v>1</v>
      </c>
      <c r="Q96" s="73" t="str">
        <f>IF(P96&gt;1,"Multiple",VLOOKUP(O96,[1]Sheet1!$C$6:$D$17,2,0))</f>
        <v>San Juan Capistrano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>
        <v>0</v>
      </c>
      <c r="AB96" s="35">
        <v>0</v>
      </c>
      <c r="AC96" s="35">
        <v>100</v>
      </c>
      <c r="AD96">
        <v>0</v>
      </c>
      <c r="AE96">
        <v>0</v>
      </c>
      <c r="AF96">
        <v>0</v>
      </c>
      <c r="AG96">
        <v>0</v>
      </c>
      <c r="AH96" s="41">
        <v>1.115625E-2</v>
      </c>
      <c r="AI96" s="41">
        <v>4.5900000000000003E-2</v>
      </c>
      <c r="AJ96" s="53" t="e">
        <f>N96*#REF!/100</f>
        <v>#REF!</v>
      </c>
      <c r="AK96" s="43">
        <v>2.8528125000000001E-2</v>
      </c>
      <c r="AL96" s="43">
        <f t="shared" si="9"/>
        <v>1.6155013068529719E-2</v>
      </c>
      <c r="AM96" s="44"/>
      <c r="AN96" s="44"/>
      <c r="AO96" s="44"/>
      <c r="AP96" s="44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1"/>
      <c r="BC96" s="41"/>
      <c r="BD96" s="41"/>
      <c r="BE96" s="41"/>
      <c r="BF96" s="41"/>
      <c r="BG96" s="41"/>
      <c r="BH96" s="41"/>
      <c r="BI96" s="41"/>
      <c r="BJ96" s="46">
        <f>IFERROR(VLOOKUP(AP96,'Scoring and Weighting'!$B$10:$C$12,2,FALSE),'Scoring and Weighting'!$C$13)</f>
        <v>70</v>
      </c>
      <c r="BK96" s="46">
        <f>VLOOKUP(AL96,'Scoring and Weighting'!$C$19:$F$23,4)</f>
        <v>50</v>
      </c>
      <c r="BL96" s="47">
        <f t="shared" si="10"/>
        <v>40</v>
      </c>
      <c r="BM96" s="46" t="e">
        <f>VLOOKUP('Table with Jurisdictions'!AJ96,'Scoring and Weighting'!$C$35:$F$39,4,1)</f>
        <v>#REF!</v>
      </c>
      <c r="BN96" s="46">
        <f t="shared" si="11"/>
        <v>20</v>
      </c>
      <c r="BO96" s="48">
        <f>IFERROR(VLOOKUP(AM96,'Scoring and Weighting'!$B$63:$C$65,2,FALSE),1)</f>
        <v>1</v>
      </c>
      <c r="BP96" s="49">
        <f>BJ96*'Scoring and Weighting'!$C$55*'Table with Jurisdictions'!BO96</f>
        <v>17.5</v>
      </c>
      <c r="BQ96" s="49">
        <f>BK96*BO96*'Scoring and Weighting'!$C$56</f>
        <v>12.5</v>
      </c>
      <c r="BR96" s="49">
        <f>BO96*BL96*'Scoring and Weighting'!$C$57</f>
        <v>10</v>
      </c>
      <c r="BS96" s="49" t="e">
        <f>BO96*BM96*'Scoring and Weighting'!$C$58</f>
        <v>#REF!</v>
      </c>
      <c r="BT96" s="49">
        <f>BO96*BN96*'Scoring and Weighting'!$C$59</f>
        <v>3</v>
      </c>
      <c r="BU96" s="50" t="e">
        <f t="shared" si="14"/>
        <v>#REF!</v>
      </c>
      <c r="BX96" s="30">
        <f t="shared" si="12"/>
        <v>12</v>
      </c>
    </row>
    <row r="97" spans="1:76" x14ac:dyDescent="0.25">
      <c r="A97" s="35" t="s">
        <v>269</v>
      </c>
      <c r="B97" s="35">
        <v>48</v>
      </c>
      <c r="C97" s="75">
        <v>42570.947743055556</v>
      </c>
      <c r="D97" s="35" t="s">
        <v>394</v>
      </c>
      <c r="E97" s="35"/>
      <c r="F97" s="35"/>
      <c r="G97" s="35">
        <v>49</v>
      </c>
      <c r="H97" s="35" t="s">
        <v>240</v>
      </c>
      <c r="I97" s="35">
        <v>1</v>
      </c>
      <c r="J97" s="35">
        <v>0</v>
      </c>
      <c r="K97" s="35" t="s">
        <v>64</v>
      </c>
      <c r="L97" s="35" t="s">
        <v>50</v>
      </c>
      <c r="M97" s="35" t="s">
        <v>492</v>
      </c>
      <c r="N97" s="30">
        <v>33.510450040463901</v>
      </c>
      <c r="O97">
        <f t="shared" si="13"/>
        <v>9</v>
      </c>
      <c r="P97" s="73">
        <f t="shared" si="15"/>
        <v>1</v>
      </c>
      <c r="Q97" s="73" t="str">
        <f>IF(P97&gt;1,"Multiple",VLOOKUP(O97,[1]Sheet1!$C$6:$D$17,2,0))</f>
        <v>Orange County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100</v>
      </c>
      <c r="AA97" s="35">
        <v>0</v>
      </c>
      <c r="AB97" s="35">
        <v>0</v>
      </c>
      <c r="AC97" s="35">
        <v>0</v>
      </c>
      <c r="AD97">
        <v>0</v>
      </c>
      <c r="AE97">
        <v>0</v>
      </c>
      <c r="AF97">
        <v>0</v>
      </c>
      <c r="AG97">
        <v>0</v>
      </c>
      <c r="AH97" s="41">
        <v>4.2500000000000003E-3</v>
      </c>
      <c r="AI97" s="41">
        <v>4.2500000000000003E-3</v>
      </c>
      <c r="AJ97" s="53" t="e">
        <f>N97*#REF!/100</f>
        <v>#REF!</v>
      </c>
      <c r="AK97" s="43">
        <v>4.2500000000000003E-3</v>
      </c>
      <c r="AL97" s="43">
        <f t="shared" si="9"/>
        <v>2.4067058575090831E-3</v>
      </c>
      <c r="AM97" s="44"/>
      <c r="AN97" s="44"/>
      <c r="AO97" s="44"/>
      <c r="AP97" s="44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1"/>
      <c r="BC97" s="41"/>
      <c r="BD97" s="41"/>
      <c r="BE97" s="41"/>
      <c r="BF97" s="41"/>
      <c r="BG97" s="41"/>
      <c r="BH97" s="41"/>
      <c r="BI97" s="41"/>
      <c r="BJ97" s="46">
        <f>IFERROR(VLOOKUP(AP97,'Scoring and Weighting'!$B$10:$C$12,2,FALSE),'Scoring and Weighting'!$C$13)</f>
        <v>70</v>
      </c>
      <c r="BK97" s="46">
        <f>VLOOKUP(AL97,'Scoring and Weighting'!$C$19:$F$23,4)</f>
        <v>30</v>
      </c>
      <c r="BL97" s="47">
        <f t="shared" si="10"/>
        <v>40</v>
      </c>
      <c r="BM97" s="46" t="e">
        <f>VLOOKUP('Table with Jurisdictions'!AJ97,'Scoring and Weighting'!$C$35:$F$39,4,1)</f>
        <v>#REF!</v>
      </c>
      <c r="BN97" s="46">
        <f t="shared" si="11"/>
        <v>20</v>
      </c>
      <c r="BO97" s="48">
        <f>IFERROR(VLOOKUP(AM97,'Scoring and Weighting'!$B$63:$C$65,2,FALSE),1)</f>
        <v>1</v>
      </c>
      <c r="BP97" s="49">
        <f>BJ97*'Scoring and Weighting'!$C$55*'Table with Jurisdictions'!BO97</f>
        <v>17.5</v>
      </c>
      <c r="BQ97" s="49">
        <f>BK97*BO97*'Scoring and Weighting'!$C$56</f>
        <v>7.5</v>
      </c>
      <c r="BR97" s="49">
        <f>BO97*BL97*'Scoring and Weighting'!$C$57</f>
        <v>10</v>
      </c>
      <c r="BS97" s="49" t="e">
        <f>BO97*BM97*'Scoring and Weighting'!$C$58</f>
        <v>#REF!</v>
      </c>
      <c r="BT97" s="49">
        <f>BO97*BN97*'Scoring and Weighting'!$C$59</f>
        <v>3</v>
      </c>
      <c r="BU97" s="50" t="e">
        <f t="shared" si="14"/>
        <v>#REF!</v>
      </c>
      <c r="BX97" s="30">
        <f t="shared" si="12"/>
        <v>9</v>
      </c>
    </row>
    <row r="98" spans="1:76" x14ac:dyDescent="0.25">
      <c r="A98" s="35" t="s">
        <v>270</v>
      </c>
      <c r="B98" s="35">
        <v>60</v>
      </c>
      <c r="C98" s="75">
        <v>42570.947743055556</v>
      </c>
      <c r="D98" s="35" t="s">
        <v>394</v>
      </c>
      <c r="E98" s="35"/>
      <c r="F98" s="35"/>
      <c r="G98" s="35">
        <v>404</v>
      </c>
      <c r="H98" s="35" t="s">
        <v>95</v>
      </c>
      <c r="I98" s="35">
        <v>1</v>
      </c>
      <c r="J98" s="35">
        <v>0</v>
      </c>
      <c r="K98" s="35" t="s">
        <v>64</v>
      </c>
      <c r="L98" s="35" t="s">
        <v>50</v>
      </c>
      <c r="M98" s="35" t="s">
        <v>493</v>
      </c>
      <c r="N98" s="30">
        <v>32.574313948763702</v>
      </c>
      <c r="O98">
        <f t="shared" si="13"/>
        <v>9</v>
      </c>
      <c r="P98" s="73">
        <f t="shared" si="15"/>
        <v>1</v>
      </c>
      <c r="Q98" s="73" t="str">
        <f>IF(P98&gt;1,"Multiple",VLOOKUP(O98,[1]Sheet1!$C$6:$D$17,2,0))</f>
        <v>Orange County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100</v>
      </c>
      <c r="AA98" s="35">
        <v>0</v>
      </c>
      <c r="AB98" s="35">
        <v>0</v>
      </c>
      <c r="AC98" s="35">
        <v>0</v>
      </c>
      <c r="AD98">
        <v>0</v>
      </c>
      <c r="AE98">
        <v>0</v>
      </c>
      <c r="AF98">
        <v>0</v>
      </c>
      <c r="AG98">
        <v>0</v>
      </c>
      <c r="AH98" s="41">
        <v>0.4284</v>
      </c>
      <c r="AI98" s="41">
        <v>0.4284</v>
      </c>
      <c r="AJ98" s="53" t="e">
        <f>N98*#REF!/100</f>
        <v>#REF!</v>
      </c>
      <c r="AK98" s="43">
        <v>0.4284</v>
      </c>
      <c r="AL98" s="43">
        <f t="shared" si="9"/>
        <v>0.24259595043691554</v>
      </c>
      <c r="AM98" s="44"/>
      <c r="AN98" s="44"/>
      <c r="AO98" s="44"/>
      <c r="AP98" s="44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1"/>
      <c r="BC98" s="41"/>
      <c r="BD98" s="41"/>
      <c r="BE98" s="41"/>
      <c r="BF98" s="41"/>
      <c r="BG98" s="41"/>
      <c r="BH98" s="41"/>
      <c r="BI98" s="41"/>
      <c r="BJ98" s="46">
        <f>IFERROR(VLOOKUP(AP98,'Scoring and Weighting'!$B$10:$C$12,2,FALSE),'Scoring and Weighting'!$C$13)</f>
        <v>70</v>
      </c>
      <c r="BK98" s="46">
        <f>VLOOKUP(AL98,'Scoring and Weighting'!$C$19:$F$23,4)</f>
        <v>100</v>
      </c>
      <c r="BL98" s="47">
        <f t="shared" si="10"/>
        <v>40</v>
      </c>
      <c r="BM98" s="46" t="e">
        <f>VLOOKUP('Table with Jurisdictions'!AJ98,'Scoring and Weighting'!$C$35:$F$39,4,1)</f>
        <v>#REF!</v>
      </c>
      <c r="BN98" s="46">
        <f t="shared" si="11"/>
        <v>20</v>
      </c>
      <c r="BO98" s="48">
        <f>IFERROR(VLOOKUP(AM98,'Scoring and Weighting'!$B$63:$C$65,2,FALSE),1)</f>
        <v>1</v>
      </c>
      <c r="BP98" s="49">
        <f>BJ98*'Scoring and Weighting'!$C$55*'Table with Jurisdictions'!BO98</f>
        <v>17.5</v>
      </c>
      <c r="BQ98" s="49">
        <f>BK98*BO98*'Scoring and Weighting'!$C$56</f>
        <v>25</v>
      </c>
      <c r="BR98" s="49">
        <f>BO98*BL98*'Scoring and Weighting'!$C$57</f>
        <v>10</v>
      </c>
      <c r="BS98" s="49" t="e">
        <f>BO98*BM98*'Scoring and Weighting'!$C$58</f>
        <v>#REF!</v>
      </c>
      <c r="BT98" s="49">
        <f>BO98*BN98*'Scoring and Weighting'!$C$59</f>
        <v>3</v>
      </c>
      <c r="BU98" s="50" t="e">
        <f t="shared" si="14"/>
        <v>#REF!</v>
      </c>
      <c r="BX98" s="30">
        <f>ROUND(SUMPRODUCT(R98:AC98,$R$1:$AC$1)/100,0)</f>
        <v>9</v>
      </c>
    </row>
    <row r="99" spans="1:76" x14ac:dyDescent="0.25">
      <c r="A99" s="35" t="s">
        <v>193</v>
      </c>
      <c r="B99" s="35"/>
      <c r="C99" s="75">
        <v>42570.947743055556</v>
      </c>
      <c r="D99" s="35" t="s">
        <v>394</v>
      </c>
      <c r="E99" s="35"/>
      <c r="F99" s="35"/>
      <c r="G99" s="35">
        <v>760</v>
      </c>
      <c r="H99" s="35" t="s">
        <v>95</v>
      </c>
      <c r="I99" s="35">
        <v>1</v>
      </c>
      <c r="J99" s="35">
        <v>0</v>
      </c>
      <c r="K99" s="35" t="s">
        <v>64</v>
      </c>
      <c r="L99" s="35" t="s">
        <v>50</v>
      </c>
      <c r="M99" s="35" t="s">
        <v>494</v>
      </c>
      <c r="N99" s="30">
        <v>194.76067127702501</v>
      </c>
      <c r="O99">
        <f t="shared" si="13"/>
        <v>12</v>
      </c>
      <c r="P99" s="73">
        <f t="shared" si="15"/>
        <v>1</v>
      </c>
      <c r="Q99" s="73" t="str">
        <f>IF(P99&gt;1,"Multiple",VLOOKUP(O99,[1]Sheet1!$C$6:$D$17,2,0))</f>
        <v>San Juan Capistrano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100</v>
      </c>
      <c r="AD99">
        <v>0</v>
      </c>
      <c r="AE99">
        <v>0</v>
      </c>
      <c r="AF99">
        <v>0</v>
      </c>
      <c r="AG99">
        <v>0</v>
      </c>
      <c r="AH99" s="41">
        <v>6.9997500000000004E-2</v>
      </c>
      <c r="AI99" s="41">
        <v>0.23094339622641499</v>
      </c>
      <c r="AJ99" s="53" t="e">
        <f>N99*#REF!/100</f>
        <v>#REF!</v>
      </c>
      <c r="AK99" s="43">
        <v>0.15047044811320801</v>
      </c>
      <c r="AL99" s="43">
        <f t="shared" si="9"/>
        <v>8.5208966789664525E-2</v>
      </c>
      <c r="AM99" s="44"/>
      <c r="AN99" s="44"/>
      <c r="AO99" s="44"/>
      <c r="AP99" s="44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1"/>
      <c r="BC99" s="41"/>
      <c r="BD99" s="41"/>
      <c r="BE99" s="41"/>
      <c r="BF99" s="41"/>
      <c r="BG99" s="41"/>
      <c r="BH99" s="41"/>
      <c r="BI99" s="41"/>
      <c r="BJ99" s="46">
        <f>IFERROR(VLOOKUP(AP99,'Scoring and Weighting'!$B$10:$C$12,2,FALSE),'Scoring and Weighting'!$C$13)</f>
        <v>70</v>
      </c>
      <c r="BK99" s="46">
        <f>VLOOKUP(AL99,'Scoring and Weighting'!$C$19:$F$23,4)</f>
        <v>70</v>
      </c>
      <c r="BL99" s="47">
        <f t="shared" si="10"/>
        <v>40</v>
      </c>
      <c r="BM99" s="46" t="e">
        <f>VLOOKUP('Table with Jurisdictions'!AJ99,'Scoring and Weighting'!$C$35:$F$39,4,1)</f>
        <v>#REF!</v>
      </c>
      <c r="BN99" s="46">
        <f t="shared" si="11"/>
        <v>20</v>
      </c>
      <c r="BO99" s="48">
        <f>IFERROR(VLOOKUP(AM99,'Scoring and Weighting'!$B$63:$C$65,2,FALSE),1)</f>
        <v>1</v>
      </c>
      <c r="BP99" s="49">
        <f>BJ99*'Scoring and Weighting'!$C$55*'Table with Jurisdictions'!BO99</f>
        <v>17.5</v>
      </c>
      <c r="BQ99" s="49">
        <f>BK99*BO99*'Scoring and Weighting'!$C$56</f>
        <v>17.5</v>
      </c>
      <c r="BR99" s="49">
        <f>BO99*BL99*'Scoring and Weighting'!$C$57</f>
        <v>10</v>
      </c>
      <c r="BS99" s="49" t="e">
        <f>BO99*BM99*'Scoring and Weighting'!$C$58</f>
        <v>#REF!</v>
      </c>
      <c r="BT99" s="49">
        <f>BO99*BN99*'Scoring and Weighting'!$C$59</f>
        <v>3</v>
      </c>
      <c r="BU99" s="50" t="e">
        <f t="shared" si="14"/>
        <v>#REF!</v>
      </c>
      <c r="BX99" s="30">
        <f t="shared" si="12"/>
        <v>12</v>
      </c>
    </row>
    <row r="100" spans="1:76" x14ac:dyDescent="0.25">
      <c r="A100" s="35" t="s">
        <v>192</v>
      </c>
      <c r="B100" s="35">
        <v>48</v>
      </c>
      <c r="C100" s="75">
        <v>42570.947743055556</v>
      </c>
      <c r="D100" s="35" t="s">
        <v>394</v>
      </c>
      <c r="E100" s="35"/>
      <c r="F100" s="35"/>
      <c r="G100" s="35">
        <v>760</v>
      </c>
      <c r="H100" s="35" t="s">
        <v>95</v>
      </c>
      <c r="I100" s="35">
        <v>1</v>
      </c>
      <c r="J100" s="35">
        <v>0</v>
      </c>
      <c r="K100" s="35" t="s">
        <v>64</v>
      </c>
      <c r="L100" s="35" t="s">
        <v>50</v>
      </c>
      <c r="M100" s="35" t="s">
        <v>495</v>
      </c>
      <c r="N100" s="30">
        <v>21.120077065805901</v>
      </c>
      <c r="O100">
        <f t="shared" si="13"/>
        <v>12</v>
      </c>
      <c r="P100" s="73">
        <f t="shared" si="15"/>
        <v>1</v>
      </c>
      <c r="Q100" s="73" t="str">
        <f>IF(P100&gt;1,"Multiple",VLOOKUP(O100,[1]Sheet1!$C$6:$D$17,2,0))</f>
        <v>San Juan Capistrano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5">
        <v>0</v>
      </c>
      <c r="AB100" s="35">
        <v>0</v>
      </c>
      <c r="AC100" s="35">
        <v>100</v>
      </c>
      <c r="AD100">
        <v>0</v>
      </c>
      <c r="AE100">
        <v>0</v>
      </c>
      <c r="AF100">
        <v>0</v>
      </c>
      <c r="AG100">
        <v>0</v>
      </c>
      <c r="AH100" s="41">
        <v>1.7000000000000001E-2</v>
      </c>
      <c r="AI100" s="41">
        <v>1.7000000000000001E-2</v>
      </c>
      <c r="AJ100" s="53" t="e">
        <f>N100*#REF!/100</f>
        <v>#REF!</v>
      </c>
      <c r="AK100" s="43">
        <v>1.7000000000000001E-2</v>
      </c>
      <c r="AL100" s="43">
        <f t="shared" si="9"/>
        <v>9.6268234300363326E-3</v>
      </c>
      <c r="AM100" s="44"/>
      <c r="AN100" s="44"/>
      <c r="AO100" s="44"/>
      <c r="AP100" s="44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1"/>
      <c r="BC100" s="41"/>
      <c r="BD100" s="41"/>
      <c r="BE100" s="41"/>
      <c r="BF100" s="41"/>
      <c r="BG100" s="41"/>
      <c r="BH100" s="41"/>
      <c r="BI100" s="41"/>
      <c r="BJ100" s="46">
        <f>IFERROR(VLOOKUP(AP100,'Scoring and Weighting'!$B$10:$C$12,2,FALSE),'Scoring and Weighting'!$C$13)</f>
        <v>70</v>
      </c>
      <c r="BK100" s="46">
        <f>VLOOKUP(AL100,'Scoring and Weighting'!$C$19:$F$23,4)</f>
        <v>30</v>
      </c>
      <c r="BL100" s="47">
        <f t="shared" si="10"/>
        <v>40</v>
      </c>
      <c r="BM100" s="46" t="e">
        <f>VLOOKUP('Table with Jurisdictions'!AJ100,'Scoring and Weighting'!$C$35:$F$39,4,1)</f>
        <v>#REF!</v>
      </c>
      <c r="BN100" s="46">
        <f t="shared" si="11"/>
        <v>20</v>
      </c>
      <c r="BO100" s="48">
        <f>IFERROR(VLOOKUP(AM100,'Scoring and Weighting'!$B$63:$C$65,2,FALSE),1)</f>
        <v>1</v>
      </c>
      <c r="BP100" s="49">
        <f>BJ100*'Scoring and Weighting'!$C$55*'Table with Jurisdictions'!BO100</f>
        <v>17.5</v>
      </c>
      <c r="BQ100" s="49">
        <f>BK100*BO100*'Scoring and Weighting'!$C$56</f>
        <v>7.5</v>
      </c>
      <c r="BR100" s="49">
        <f>BO100*BL100*'Scoring and Weighting'!$C$57</f>
        <v>10</v>
      </c>
      <c r="BS100" s="49" t="e">
        <f>BO100*BM100*'Scoring and Weighting'!$C$58</f>
        <v>#REF!</v>
      </c>
      <c r="BT100" s="49">
        <f>BO100*BN100*'Scoring and Weighting'!$C$59</f>
        <v>3</v>
      </c>
      <c r="BU100" s="50" t="e">
        <f t="shared" si="14"/>
        <v>#REF!</v>
      </c>
      <c r="BX100" s="30">
        <f t="shared" ref="BX100:BX122" si="16">ROUND(SUMPRODUCT(R100:AC100,$R$1:$AC$1)/100,0)</f>
        <v>12</v>
      </c>
    </row>
    <row r="101" spans="1:76" x14ac:dyDescent="0.25">
      <c r="A101" s="35" t="s">
        <v>189</v>
      </c>
      <c r="B101" s="35">
        <v>42</v>
      </c>
      <c r="C101" s="75">
        <v>42570.947743055556</v>
      </c>
      <c r="D101" s="35" t="s">
        <v>394</v>
      </c>
      <c r="E101" s="35"/>
      <c r="F101" s="35"/>
      <c r="G101" s="35">
        <v>340</v>
      </c>
      <c r="H101" s="35" t="s">
        <v>95</v>
      </c>
      <c r="I101" s="35">
        <v>1</v>
      </c>
      <c r="J101" s="35">
        <v>0</v>
      </c>
      <c r="K101" s="35" t="s">
        <v>64</v>
      </c>
      <c r="L101" s="35" t="s">
        <v>50</v>
      </c>
      <c r="M101" s="35" t="s">
        <v>496</v>
      </c>
      <c r="N101" s="30">
        <v>56.733114158089897</v>
      </c>
      <c r="O101">
        <f t="shared" si="13"/>
        <v>12</v>
      </c>
      <c r="P101" s="73">
        <f t="shared" si="15"/>
        <v>1</v>
      </c>
      <c r="Q101" s="73" t="str">
        <f>IF(P101&gt;1,"Multiple",VLOOKUP(O101,[1]Sheet1!$C$6:$D$17,2,0))</f>
        <v>San Juan Capistrano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100</v>
      </c>
      <c r="AD101">
        <v>0</v>
      </c>
      <c r="AE101">
        <v>0</v>
      </c>
      <c r="AF101">
        <v>0</v>
      </c>
      <c r="AG101">
        <v>0</v>
      </c>
      <c r="AH101" s="41">
        <v>5.1000000000000004E-3</v>
      </c>
      <c r="AI101" s="41">
        <v>5.1000000000000004E-3</v>
      </c>
      <c r="AJ101" s="53" t="e">
        <f>N101*#REF!/100</f>
        <v>#REF!</v>
      </c>
      <c r="AK101" s="43">
        <v>5.1000000000000004E-3</v>
      </c>
      <c r="AL101" s="43">
        <f t="shared" si="9"/>
        <v>2.8880470290108999E-3</v>
      </c>
      <c r="AM101" s="44"/>
      <c r="AN101" s="44"/>
      <c r="AO101" s="44"/>
      <c r="AP101" s="44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1"/>
      <c r="BC101" s="41"/>
      <c r="BD101" s="41"/>
      <c r="BE101" s="41"/>
      <c r="BF101" s="41"/>
      <c r="BG101" s="41"/>
      <c r="BH101" s="41"/>
      <c r="BI101" s="41"/>
      <c r="BJ101" s="46">
        <f>IFERROR(VLOOKUP(AP101,'Scoring and Weighting'!$B$10:$C$12,2,FALSE),'Scoring and Weighting'!$C$13)</f>
        <v>70</v>
      </c>
      <c r="BK101" s="46">
        <f>VLOOKUP(AL101,'Scoring and Weighting'!$C$19:$F$23,4)</f>
        <v>30</v>
      </c>
      <c r="BL101" s="47">
        <f t="shared" si="10"/>
        <v>40</v>
      </c>
      <c r="BM101" s="46" t="e">
        <f>VLOOKUP('Table with Jurisdictions'!AJ101,'Scoring and Weighting'!$C$35:$F$39,4,1)</f>
        <v>#REF!</v>
      </c>
      <c r="BN101" s="46">
        <f t="shared" si="11"/>
        <v>20</v>
      </c>
      <c r="BO101" s="48">
        <f>IFERROR(VLOOKUP(AM101,'Scoring and Weighting'!$B$63:$C$65,2,FALSE),1)</f>
        <v>1</v>
      </c>
      <c r="BP101" s="49">
        <f>BJ101*'Scoring and Weighting'!$C$55*'Table with Jurisdictions'!BO101</f>
        <v>17.5</v>
      </c>
      <c r="BQ101" s="49">
        <f>BK101*BO101*'Scoring and Weighting'!$C$56</f>
        <v>7.5</v>
      </c>
      <c r="BR101" s="49">
        <f>BO101*BL101*'Scoring and Weighting'!$C$57</f>
        <v>10</v>
      </c>
      <c r="BS101" s="49" t="e">
        <f>BO101*BM101*'Scoring and Weighting'!$C$58</f>
        <v>#REF!</v>
      </c>
      <c r="BT101" s="49">
        <f>BO101*BN101*'Scoring and Weighting'!$C$59</f>
        <v>3</v>
      </c>
      <c r="BU101" s="50" t="e">
        <f t="shared" si="14"/>
        <v>#REF!</v>
      </c>
      <c r="BX101" s="30">
        <f t="shared" si="16"/>
        <v>12</v>
      </c>
    </row>
    <row r="102" spans="1:76" x14ac:dyDescent="0.25">
      <c r="A102" s="35" t="s">
        <v>190</v>
      </c>
      <c r="B102" s="35"/>
      <c r="C102" s="75">
        <v>42578.903912037036</v>
      </c>
      <c r="D102" s="35" t="s">
        <v>394</v>
      </c>
      <c r="E102" s="35"/>
      <c r="F102" s="35"/>
      <c r="G102" s="35">
        <v>50</v>
      </c>
      <c r="H102" s="35" t="s">
        <v>185</v>
      </c>
      <c r="I102" s="35">
        <v>1</v>
      </c>
      <c r="J102" s="35">
        <v>0</v>
      </c>
      <c r="K102" s="35" t="s">
        <v>64</v>
      </c>
      <c r="L102" s="35" t="s">
        <v>50</v>
      </c>
      <c r="M102" s="35" t="s">
        <v>497</v>
      </c>
      <c r="N102" s="30">
        <v>226.46854450351799</v>
      </c>
      <c r="O102">
        <f t="shared" si="13"/>
        <v>12</v>
      </c>
      <c r="P102" s="73">
        <f t="shared" si="15"/>
        <v>1</v>
      </c>
      <c r="Q102" s="73" t="str">
        <f>IF(P102&gt;1,"Multiple",VLOOKUP(O102,[1]Sheet1!$C$6:$D$17,2,0))</f>
        <v>San Juan Capistrano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2</v>
      </c>
      <c r="AA102" s="35">
        <v>0</v>
      </c>
      <c r="AB102" s="35">
        <v>0</v>
      </c>
      <c r="AC102" s="35">
        <v>98</v>
      </c>
      <c r="AD102">
        <v>0</v>
      </c>
      <c r="AE102">
        <v>0</v>
      </c>
      <c r="AF102">
        <v>1</v>
      </c>
      <c r="AG102">
        <v>80</v>
      </c>
      <c r="AH102" s="41">
        <v>2.6775E-2</v>
      </c>
      <c r="AI102" s="41">
        <v>5.6099999999999997E-2</v>
      </c>
      <c r="AJ102" s="53" t="e">
        <f>N102*#REF!/100</f>
        <v>#REF!</v>
      </c>
      <c r="AK102" s="43">
        <v>4.1437500000000002E-2</v>
      </c>
      <c r="AL102" s="43">
        <f t="shared" si="9"/>
        <v>2.346538211071356E-2</v>
      </c>
      <c r="AM102" s="44" t="s">
        <v>52</v>
      </c>
      <c r="AN102" s="44"/>
      <c r="AO102" s="44" t="s">
        <v>53</v>
      </c>
      <c r="AP102" s="44" t="s">
        <v>54</v>
      </c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1"/>
      <c r="BC102" s="41"/>
      <c r="BD102" s="41"/>
      <c r="BE102" s="41"/>
      <c r="BF102" s="41"/>
      <c r="BG102" s="41"/>
      <c r="BH102" s="41"/>
      <c r="BI102" s="41"/>
      <c r="BJ102" s="46">
        <f>IFERROR(VLOOKUP(AP102,'Scoring and Weighting'!$B$10:$C$12,2,FALSE),'Scoring and Weighting'!$C$13)</f>
        <v>100</v>
      </c>
      <c r="BK102" s="46">
        <f>VLOOKUP(AL102,'Scoring and Weighting'!$C$19:$F$23,4)</f>
        <v>50</v>
      </c>
      <c r="BL102" s="47">
        <f t="shared" si="10"/>
        <v>40</v>
      </c>
      <c r="BM102" s="46" t="e">
        <f>VLOOKUP('Table with Jurisdictions'!AJ102,'Scoring and Weighting'!$C$35:$F$39,4,1)</f>
        <v>#REF!</v>
      </c>
      <c r="BN102" s="46">
        <f t="shared" si="11"/>
        <v>20</v>
      </c>
      <c r="BO102" s="48">
        <f>IFERROR(VLOOKUP(AM102,'Scoring and Weighting'!$B$63:$C$65,2,FALSE),1)</f>
        <v>1</v>
      </c>
      <c r="BP102" s="49">
        <f>BJ102*'Scoring and Weighting'!$C$55*'Table with Jurisdictions'!BO102</f>
        <v>25</v>
      </c>
      <c r="BQ102" s="49">
        <f>BK102*BO102*'Scoring and Weighting'!$C$56</f>
        <v>12.5</v>
      </c>
      <c r="BR102" s="49">
        <f>BO102*BL102*'Scoring and Weighting'!$C$57</f>
        <v>10</v>
      </c>
      <c r="BS102" s="49" t="e">
        <f>BO102*BM102*'Scoring and Weighting'!$C$58</f>
        <v>#REF!</v>
      </c>
      <c r="BT102" s="49">
        <f>BO102*BN102*'Scoring and Weighting'!$C$59</f>
        <v>3</v>
      </c>
      <c r="BU102" s="50" t="e">
        <f t="shared" si="14"/>
        <v>#REF!</v>
      </c>
      <c r="BX102" s="30">
        <f t="shared" si="16"/>
        <v>12</v>
      </c>
    </row>
    <row r="103" spans="1:76" x14ac:dyDescent="0.25">
      <c r="A103" s="35" t="s">
        <v>220</v>
      </c>
      <c r="B103" s="35">
        <v>72</v>
      </c>
      <c r="C103" s="75">
        <v>42591.87877314815</v>
      </c>
      <c r="D103" s="35" t="s">
        <v>498</v>
      </c>
      <c r="E103" s="35"/>
      <c r="F103" s="35"/>
      <c r="G103" s="35">
        <v>12106</v>
      </c>
      <c r="H103" s="35" t="s">
        <v>272</v>
      </c>
      <c r="I103" s="35">
        <v>1</v>
      </c>
      <c r="J103" s="35">
        <v>0</v>
      </c>
      <c r="K103" s="35" t="s">
        <v>64</v>
      </c>
      <c r="L103" s="35" t="s">
        <v>50</v>
      </c>
      <c r="M103" s="35" t="s">
        <v>499</v>
      </c>
      <c r="N103" s="30">
        <v>571.54189286956296</v>
      </c>
      <c r="O103">
        <f t="shared" si="13"/>
        <v>10</v>
      </c>
      <c r="P103" s="73">
        <f t="shared" si="15"/>
        <v>1</v>
      </c>
      <c r="Q103" s="73" t="str">
        <f>IF(P103&gt;1,"Multiple",VLOOKUP(O103,[1]Sheet1!$C$6:$D$17,2,0))</f>
        <v>Rancho Santa Margarita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8</v>
      </c>
      <c r="AA103" s="35">
        <v>92</v>
      </c>
      <c r="AB103" s="35">
        <v>0</v>
      </c>
      <c r="AC103" s="35">
        <v>0</v>
      </c>
      <c r="AD103">
        <v>0</v>
      </c>
      <c r="AE103">
        <v>0</v>
      </c>
      <c r="AF103">
        <v>0</v>
      </c>
      <c r="AG103">
        <v>0</v>
      </c>
      <c r="AH103" s="41">
        <v>2.5500000000000002E-3</v>
      </c>
      <c r="AI103" s="41">
        <v>1.0200000000000001E-2</v>
      </c>
      <c r="AJ103" s="53" t="e">
        <f>N103*#REF!/100</f>
        <v>#REF!</v>
      </c>
      <c r="AK103" s="43">
        <v>6.3749999999999996E-3</v>
      </c>
      <c r="AL103" s="43">
        <f t="shared" si="9"/>
        <v>3.6100587862636238E-3</v>
      </c>
      <c r="AM103" s="44"/>
      <c r="AN103" s="44"/>
      <c r="AO103" s="44"/>
      <c r="AP103" s="44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1"/>
      <c r="BC103" s="41"/>
      <c r="BD103" s="41"/>
      <c r="BE103" s="41"/>
      <c r="BF103" s="41"/>
      <c r="BG103" s="41"/>
      <c r="BH103" s="41"/>
      <c r="BI103" s="41"/>
      <c r="BJ103" s="46">
        <f>IFERROR(VLOOKUP(AP103,'Scoring and Weighting'!$B$10:$C$12,2,FALSE),'Scoring and Weighting'!$C$13)</f>
        <v>70</v>
      </c>
      <c r="BK103" s="46">
        <f>VLOOKUP(AL103,'Scoring and Weighting'!$C$19:$F$23,4)</f>
        <v>30</v>
      </c>
      <c r="BL103" s="47">
        <f t="shared" si="10"/>
        <v>40</v>
      </c>
      <c r="BM103" s="46" t="e">
        <f>VLOOKUP('Table with Jurisdictions'!AJ103,'Scoring and Weighting'!$C$35:$F$39,4,1)</f>
        <v>#REF!</v>
      </c>
      <c r="BN103" s="46">
        <f t="shared" si="11"/>
        <v>20</v>
      </c>
      <c r="BO103" s="48">
        <f>IFERROR(VLOOKUP(AM103,'Scoring and Weighting'!$B$63:$C$65,2,FALSE),1)</f>
        <v>1</v>
      </c>
      <c r="BP103" s="49">
        <f>BJ103*'Scoring and Weighting'!$C$55*'Table with Jurisdictions'!BO103</f>
        <v>17.5</v>
      </c>
      <c r="BQ103" s="49">
        <f>BK103*BO103*'Scoring and Weighting'!$C$56</f>
        <v>7.5</v>
      </c>
      <c r="BR103" s="49">
        <f>BO103*BL103*'Scoring and Weighting'!$C$57</f>
        <v>10</v>
      </c>
      <c r="BS103" s="49" t="e">
        <f>BO103*BM103*'Scoring and Weighting'!$C$58</f>
        <v>#REF!</v>
      </c>
      <c r="BT103" s="49">
        <f>BO103*BN103*'Scoring and Weighting'!$C$59</f>
        <v>3</v>
      </c>
      <c r="BU103" s="50" t="e">
        <f t="shared" si="14"/>
        <v>#REF!</v>
      </c>
      <c r="BX103" s="30">
        <f t="shared" si="16"/>
        <v>10</v>
      </c>
    </row>
    <row r="104" spans="1:76" x14ac:dyDescent="0.25">
      <c r="A104" s="35" t="s">
        <v>234</v>
      </c>
      <c r="B104" s="35">
        <v>60</v>
      </c>
      <c r="C104" s="75">
        <v>42586.650648148148</v>
      </c>
      <c r="D104" s="35" t="s">
        <v>394</v>
      </c>
      <c r="E104" s="35"/>
      <c r="F104" s="35"/>
      <c r="G104" s="35">
        <v>747</v>
      </c>
      <c r="H104" s="35" t="s">
        <v>95</v>
      </c>
      <c r="I104" s="35">
        <v>1</v>
      </c>
      <c r="J104" s="35">
        <v>0</v>
      </c>
      <c r="K104" s="35" t="s">
        <v>64</v>
      </c>
      <c r="L104" s="35" t="s">
        <v>50</v>
      </c>
      <c r="M104" s="35" t="s">
        <v>500</v>
      </c>
      <c r="N104" s="30">
        <v>171.66602081530999</v>
      </c>
      <c r="O104">
        <f t="shared" si="13"/>
        <v>8</v>
      </c>
      <c r="P104" s="73">
        <f t="shared" si="15"/>
        <v>1</v>
      </c>
      <c r="Q104" s="73" t="str">
        <f>IF(P104&gt;1,"Multiple",VLOOKUP(O104,[1]Sheet1!$C$6:$D$17,2,0))</f>
        <v>Mission Viejo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100</v>
      </c>
      <c r="Z104" s="35">
        <v>0</v>
      </c>
      <c r="AA104" s="35">
        <v>0</v>
      </c>
      <c r="AB104" s="35">
        <v>0</v>
      </c>
      <c r="AC104" s="35">
        <v>0</v>
      </c>
      <c r="AD104">
        <v>100</v>
      </c>
      <c r="AE104">
        <v>0</v>
      </c>
      <c r="AF104">
        <v>0</v>
      </c>
      <c r="AG104">
        <v>0</v>
      </c>
      <c r="AH104" s="41">
        <v>5.9500000000000004E-3</v>
      </c>
      <c r="AI104" s="41">
        <v>4.0800000000000003E-2</v>
      </c>
      <c r="AJ104" s="53" t="e">
        <f>N104*#REF!/100</f>
        <v>#REF!</v>
      </c>
      <c r="AK104" s="43">
        <v>2.3375E-2</v>
      </c>
      <c r="AL104" s="43">
        <f t="shared" si="9"/>
        <v>1.3236882216299956E-2</v>
      </c>
      <c r="AM104" s="44"/>
      <c r="AN104" s="44"/>
      <c r="AO104" s="44"/>
      <c r="AP104" s="44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1"/>
      <c r="BC104" s="41"/>
      <c r="BD104" s="41"/>
      <c r="BE104" s="41"/>
      <c r="BF104" s="41"/>
      <c r="BG104" s="41"/>
      <c r="BH104" s="41"/>
      <c r="BI104" s="41"/>
      <c r="BJ104" s="46">
        <f>IFERROR(VLOOKUP(AP104,'Scoring and Weighting'!$B$10:$C$12,2,FALSE),'Scoring and Weighting'!$C$13)</f>
        <v>70</v>
      </c>
      <c r="BK104" s="46">
        <f>VLOOKUP(AL104,'Scoring and Weighting'!$C$19:$F$23,4)</f>
        <v>30</v>
      </c>
      <c r="BL104" s="47">
        <f t="shared" si="10"/>
        <v>40</v>
      </c>
      <c r="BM104" s="46" t="e">
        <f>VLOOKUP('Table with Jurisdictions'!AJ104,'Scoring and Weighting'!$C$35:$F$39,4,1)</f>
        <v>#REF!</v>
      </c>
      <c r="BN104" s="46">
        <f t="shared" si="11"/>
        <v>40</v>
      </c>
      <c r="BO104" s="48">
        <f>IFERROR(VLOOKUP(AM104,'Scoring and Weighting'!$B$63:$C$65,2,FALSE),1)</f>
        <v>1</v>
      </c>
      <c r="BP104" s="49">
        <f>BJ104*'Scoring and Weighting'!$C$55*'Table with Jurisdictions'!BO104</f>
        <v>17.5</v>
      </c>
      <c r="BQ104" s="49">
        <f>BK104*BO104*'Scoring and Weighting'!$C$56</f>
        <v>7.5</v>
      </c>
      <c r="BR104" s="49">
        <f>BO104*BL104*'Scoring and Weighting'!$C$57</f>
        <v>10</v>
      </c>
      <c r="BS104" s="49" t="e">
        <f>BO104*BM104*'Scoring and Weighting'!$C$58</f>
        <v>#REF!</v>
      </c>
      <c r="BT104" s="49">
        <f>BO104*BN104*'Scoring and Weighting'!$C$59</f>
        <v>6</v>
      </c>
      <c r="BU104" s="50" t="e">
        <f t="shared" si="14"/>
        <v>#REF!</v>
      </c>
      <c r="BX104" s="30">
        <f t="shared" si="16"/>
        <v>8</v>
      </c>
    </row>
    <row r="105" spans="1:76" x14ac:dyDescent="0.25">
      <c r="A105" s="35" t="s">
        <v>237</v>
      </c>
      <c r="B105" s="35">
        <v>66</v>
      </c>
      <c r="C105" s="75">
        <v>42570.947743055556</v>
      </c>
      <c r="D105" s="35" t="s">
        <v>394</v>
      </c>
      <c r="E105" s="35"/>
      <c r="F105" s="35"/>
      <c r="G105" s="35">
        <v>489</v>
      </c>
      <c r="H105" s="35" t="s">
        <v>240</v>
      </c>
      <c r="I105" s="35">
        <v>1</v>
      </c>
      <c r="J105" s="35">
        <v>0</v>
      </c>
      <c r="K105" s="35" t="s">
        <v>64</v>
      </c>
      <c r="L105" s="35" t="s">
        <v>50</v>
      </c>
      <c r="M105" s="35" t="s">
        <v>501</v>
      </c>
      <c r="N105" s="30">
        <v>255.628767096909</v>
      </c>
      <c r="O105">
        <f t="shared" si="13"/>
        <v>9</v>
      </c>
      <c r="P105" s="73">
        <f t="shared" si="15"/>
        <v>1</v>
      </c>
      <c r="Q105" s="73" t="str">
        <f>IF(P105&gt;1,"Multiple",VLOOKUP(O105,[1]Sheet1!$C$6:$D$17,2,0))</f>
        <v>Orange County</v>
      </c>
      <c r="R105" s="35">
        <v>0</v>
      </c>
      <c r="S105" s="35">
        <v>0</v>
      </c>
      <c r="T105" s="35">
        <v>0</v>
      </c>
      <c r="U105" s="35">
        <v>0</v>
      </c>
      <c r="V105" s="35">
        <v>0</v>
      </c>
      <c r="W105" s="35">
        <v>0</v>
      </c>
      <c r="X105" s="35">
        <v>0</v>
      </c>
      <c r="Y105" s="35">
        <v>0</v>
      </c>
      <c r="Z105" s="35">
        <v>100</v>
      </c>
      <c r="AA105" s="35">
        <v>0</v>
      </c>
      <c r="AB105" s="35">
        <v>0</v>
      </c>
      <c r="AC105" s="35">
        <v>0</v>
      </c>
      <c r="AD105">
        <v>62</v>
      </c>
      <c r="AE105">
        <v>21</v>
      </c>
      <c r="AF105">
        <v>0</v>
      </c>
      <c r="AG105">
        <v>0</v>
      </c>
      <c r="AH105" s="41">
        <v>5.0999999999999997E-2</v>
      </c>
      <c r="AI105" s="41">
        <v>0.1051875</v>
      </c>
      <c r="AJ105" s="53" t="e">
        <f>N105*#REF!/100</f>
        <v>#REF!</v>
      </c>
      <c r="AK105" s="43">
        <v>7.8093750000000003E-2</v>
      </c>
      <c r="AL105" s="43">
        <f t="shared" si="9"/>
        <v>4.4223220131729399E-2</v>
      </c>
      <c r="AM105" s="44"/>
      <c r="AN105" s="44"/>
      <c r="AO105" s="44"/>
      <c r="AP105" s="44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1"/>
      <c r="BC105" s="41"/>
      <c r="BD105" s="41"/>
      <c r="BE105" s="41"/>
      <c r="BF105" s="41"/>
      <c r="BG105" s="41"/>
      <c r="BH105" s="41"/>
      <c r="BI105" s="41"/>
      <c r="BJ105" s="46">
        <f>IFERROR(VLOOKUP(AP105,'Scoring and Weighting'!$B$10:$C$12,2,FALSE),'Scoring and Weighting'!$C$13)</f>
        <v>70</v>
      </c>
      <c r="BK105" s="46">
        <f>VLOOKUP(AL105,'Scoring and Weighting'!$C$19:$F$23,4)</f>
        <v>50</v>
      </c>
      <c r="BL105" s="47">
        <f t="shared" si="10"/>
        <v>40</v>
      </c>
      <c r="BM105" s="46" t="e">
        <f>VLOOKUP('Table with Jurisdictions'!AJ105,'Scoring and Weighting'!$C$35:$F$39,4,1)</f>
        <v>#REF!</v>
      </c>
      <c r="BN105" s="46">
        <f t="shared" si="11"/>
        <v>40</v>
      </c>
      <c r="BO105" s="48">
        <f>IFERROR(VLOOKUP(AM105,'Scoring and Weighting'!$B$63:$C$65,2,FALSE),1)</f>
        <v>1</v>
      </c>
      <c r="BP105" s="49">
        <f>BJ105*'Scoring and Weighting'!$C$55*'Table with Jurisdictions'!BO105</f>
        <v>17.5</v>
      </c>
      <c r="BQ105" s="49">
        <f>BK105*BO105*'Scoring and Weighting'!$C$56</f>
        <v>12.5</v>
      </c>
      <c r="BR105" s="49">
        <f>BO105*BL105*'Scoring and Weighting'!$C$57</f>
        <v>10</v>
      </c>
      <c r="BS105" s="49" t="e">
        <f>BO105*BM105*'Scoring and Weighting'!$C$58</f>
        <v>#REF!</v>
      </c>
      <c r="BT105" s="49">
        <f>BO105*BN105*'Scoring and Weighting'!$C$59</f>
        <v>6</v>
      </c>
      <c r="BU105" s="50" t="e">
        <f t="shared" si="14"/>
        <v>#REF!</v>
      </c>
      <c r="BX105" s="30">
        <f t="shared" si="16"/>
        <v>9</v>
      </c>
    </row>
    <row r="106" spans="1:76" x14ac:dyDescent="0.25">
      <c r="A106" s="35" t="s">
        <v>236</v>
      </c>
      <c r="B106" s="35">
        <v>36</v>
      </c>
      <c r="C106" s="75">
        <v>42570.947743055556</v>
      </c>
      <c r="D106" s="35" t="s">
        <v>394</v>
      </c>
      <c r="E106" s="35"/>
      <c r="F106" s="35"/>
      <c r="G106" s="35">
        <v>489</v>
      </c>
      <c r="H106" s="35" t="s">
        <v>240</v>
      </c>
      <c r="I106" s="35">
        <v>1</v>
      </c>
      <c r="J106" s="35">
        <v>0</v>
      </c>
      <c r="K106" s="35" t="s">
        <v>64</v>
      </c>
      <c r="L106" s="35" t="s">
        <v>50</v>
      </c>
      <c r="M106" s="35" t="s">
        <v>502</v>
      </c>
      <c r="N106" s="30">
        <v>48.541145664965903</v>
      </c>
      <c r="O106">
        <f t="shared" si="13"/>
        <v>8</v>
      </c>
      <c r="P106" s="73">
        <f t="shared" si="15"/>
        <v>1</v>
      </c>
      <c r="Q106" s="73" t="str">
        <f>IF(P106&gt;1,"Multiple",VLOOKUP(O106,[1]Sheet1!$C$6:$D$17,2,0))</f>
        <v>Mission Viejo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100</v>
      </c>
      <c r="Z106" s="35">
        <v>0</v>
      </c>
      <c r="AA106" s="35">
        <v>0</v>
      </c>
      <c r="AB106" s="35">
        <v>0</v>
      </c>
      <c r="AC106" s="35">
        <v>0</v>
      </c>
      <c r="AD106">
        <v>0</v>
      </c>
      <c r="AE106">
        <v>0</v>
      </c>
      <c r="AF106">
        <v>0</v>
      </c>
      <c r="AG106">
        <v>0</v>
      </c>
      <c r="AH106" s="41">
        <v>1.9124999999999999E-3</v>
      </c>
      <c r="AI106" s="41">
        <v>1.9124999999999999E-3</v>
      </c>
      <c r="AJ106" s="53" t="e">
        <f>N106*#REF!/100</f>
        <v>#REF!</v>
      </c>
      <c r="AK106" s="43">
        <v>1.9124999999999999E-3</v>
      </c>
      <c r="AL106" s="43">
        <f t="shared" si="9"/>
        <v>1.0830176358790874E-3</v>
      </c>
      <c r="AM106" s="44"/>
      <c r="AN106" s="44"/>
      <c r="AO106" s="44"/>
      <c r="AP106" s="44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1"/>
      <c r="BC106" s="41"/>
      <c r="BD106" s="41"/>
      <c r="BE106" s="41"/>
      <c r="BF106" s="41"/>
      <c r="BG106" s="41"/>
      <c r="BH106" s="41"/>
      <c r="BI106" s="41"/>
      <c r="BJ106" s="46">
        <f>IFERROR(VLOOKUP(AP106,'Scoring and Weighting'!$B$10:$C$12,2,FALSE),'Scoring and Weighting'!$C$13)</f>
        <v>70</v>
      </c>
      <c r="BK106" s="46">
        <f>VLOOKUP(AL106,'Scoring and Weighting'!$C$19:$F$23,4)</f>
        <v>30</v>
      </c>
      <c r="BL106" s="47">
        <f t="shared" si="10"/>
        <v>40</v>
      </c>
      <c r="BM106" s="46" t="e">
        <f>VLOOKUP('Table with Jurisdictions'!AJ106,'Scoring and Weighting'!$C$35:$F$39,4,1)</f>
        <v>#REF!</v>
      </c>
      <c r="BN106" s="46">
        <f t="shared" si="11"/>
        <v>20</v>
      </c>
      <c r="BO106" s="48">
        <f>IFERROR(VLOOKUP(AM106,'Scoring and Weighting'!$B$63:$C$65,2,FALSE),1)</f>
        <v>1</v>
      </c>
      <c r="BP106" s="49">
        <f>BJ106*'Scoring and Weighting'!$C$55*'Table with Jurisdictions'!BO106</f>
        <v>17.5</v>
      </c>
      <c r="BQ106" s="49">
        <f>BK106*BO106*'Scoring and Weighting'!$C$56</f>
        <v>7.5</v>
      </c>
      <c r="BR106" s="49">
        <f>BO106*BL106*'Scoring and Weighting'!$C$57</f>
        <v>10</v>
      </c>
      <c r="BS106" s="49" t="e">
        <f>BO106*BM106*'Scoring and Weighting'!$C$58</f>
        <v>#REF!</v>
      </c>
      <c r="BT106" s="49">
        <f>BO106*BN106*'Scoring and Weighting'!$C$59</f>
        <v>3</v>
      </c>
      <c r="BU106" s="50" t="e">
        <f t="shared" si="14"/>
        <v>#REF!</v>
      </c>
      <c r="BX106" s="30">
        <f t="shared" si="16"/>
        <v>8</v>
      </c>
    </row>
    <row r="107" spans="1:76" x14ac:dyDescent="0.25">
      <c r="A107" s="35" t="s">
        <v>267</v>
      </c>
      <c r="B107" s="35">
        <v>42</v>
      </c>
      <c r="C107" s="75">
        <v>42570.947743055556</v>
      </c>
      <c r="D107" s="35" t="s">
        <v>394</v>
      </c>
      <c r="E107" s="35"/>
      <c r="F107" s="35"/>
      <c r="G107" s="35">
        <v>372</v>
      </c>
      <c r="H107" s="35" t="s">
        <v>95</v>
      </c>
      <c r="I107" s="35">
        <v>1</v>
      </c>
      <c r="J107" s="35">
        <v>0</v>
      </c>
      <c r="K107" s="35" t="s">
        <v>64</v>
      </c>
      <c r="L107" s="35" t="s">
        <v>50</v>
      </c>
      <c r="M107" s="35" t="s">
        <v>503</v>
      </c>
      <c r="N107" s="30" t="s">
        <v>527</v>
      </c>
      <c r="O107">
        <f t="shared" ref="O107" si="17">ROUND(SUMPRODUCT(R107:AC107,$R$1:$AC$1)/100,0)</f>
        <v>0</v>
      </c>
      <c r="P107" s="73" t="s">
        <v>527</v>
      </c>
      <c r="Q107" s="73" t="s">
        <v>527</v>
      </c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>
        <v>0</v>
      </c>
      <c r="AE107">
        <v>82</v>
      </c>
      <c r="AF107">
        <v>0</v>
      </c>
      <c r="AG107">
        <v>0</v>
      </c>
      <c r="AH107" s="41">
        <v>0.12239999999999999</v>
      </c>
      <c r="AI107" s="41">
        <v>4.59</v>
      </c>
      <c r="AJ107" s="53" t="e">
        <f>N107*#REF!/100</f>
        <v>#VALUE!</v>
      </c>
      <c r="AK107" s="43">
        <v>2.3561999999999999</v>
      </c>
      <c r="AL107" s="43">
        <f t="shared" si="9"/>
        <v>1.3342777274030355</v>
      </c>
      <c r="AM107" s="44" t="s">
        <v>110</v>
      </c>
      <c r="AN107" s="44" t="s">
        <v>53</v>
      </c>
      <c r="AO107" s="44" t="s">
        <v>53</v>
      </c>
      <c r="AP107" s="44" t="s">
        <v>69</v>
      </c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1"/>
      <c r="BC107" s="41"/>
      <c r="BD107" s="41"/>
      <c r="BE107" s="41"/>
      <c r="BF107" s="41"/>
      <c r="BG107" s="41"/>
      <c r="BH107" s="41"/>
      <c r="BI107" s="41"/>
      <c r="BJ107" s="46">
        <f>IFERROR(VLOOKUP(AP107,'Scoring and Weighting'!$B$10:$C$12,2,FALSE),'Scoring and Weighting'!$C$13)</f>
        <v>80</v>
      </c>
      <c r="BK107" s="46">
        <f>VLOOKUP(AL107,'Scoring and Weighting'!$C$19:$F$23,4)</f>
        <v>100</v>
      </c>
      <c r="BL107" s="47">
        <f t="shared" si="10"/>
        <v>40</v>
      </c>
      <c r="BM107" s="46" t="e">
        <f>VLOOKUP('Table with Jurisdictions'!AJ107,'Scoring and Weighting'!$C$35:$F$39,4,1)</f>
        <v>#VALUE!</v>
      </c>
      <c r="BN107" s="46">
        <f t="shared" si="11"/>
        <v>20</v>
      </c>
      <c r="BO107" s="48">
        <f>IFERROR(VLOOKUP(AM107,'Scoring and Weighting'!$B$63:$C$65,2,FALSE),1)</f>
        <v>0.5</v>
      </c>
      <c r="BP107" s="49">
        <f>BJ107*'Scoring and Weighting'!$C$55*'Table with Jurisdictions'!BO107</f>
        <v>10</v>
      </c>
      <c r="BQ107" s="49">
        <f>BK107*BO107*'Scoring and Weighting'!$C$56</f>
        <v>12.5</v>
      </c>
      <c r="BR107" s="49">
        <f>BO107*BL107*'Scoring and Weighting'!$C$57</f>
        <v>5</v>
      </c>
      <c r="BS107" s="49" t="e">
        <f>BO107*BM107*'Scoring and Weighting'!$C$58</f>
        <v>#VALUE!</v>
      </c>
      <c r="BT107" s="49">
        <f>BO107*BN107*'Scoring and Weighting'!$C$59</f>
        <v>1.5</v>
      </c>
      <c r="BU107" s="50" t="e">
        <f t="shared" si="14"/>
        <v>#VALUE!</v>
      </c>
      <c r="BX107" s="30">
        <f t="shared" si="16"/>
        <v>0</v>
      </c>
    </row>
    <row r="108" spans="1:76" x14ac:dyDescent="0.25">
      <c r="A108" s="35" t="s">
        <v>275</v>
      </c>
      <c r="B108" s="35">
        <v>36</v>
      </c>
      <c r="C108" s="75">
        <v>42570.947743055556</v>
      </c>
      <c r="D108" s="35" t="s">
        <v>394</v>
      </c>
      <c r="E108" s="35"/>
      <c r="F108" s="35"/>
      <c r="G108" s="35">
        <v>730</v>
      </c>
      <c r="H108" s="35" t="s">
        <v>95</v>
      </c>
      <c r="I108" s="35">
        <v>1</v>
      </c>
      <c r="J108" s="35">
        <v>0</v>
      </c>
      <c r="K108" s="35" t="s">
        <v>64</v>
      </c>
      <c r="L108" s="35" t="s">
        <v>50</v>
      </c>
      <c r="M108" s="35" t="s">
        <v>504</v>
      </c>
      <c r="N108" s="30">
        <v>165.69296562175401</v>
      </c>
      <c r="O108">
        <f t="shared" si="13"/>
        <v>8</v>
      </c>
      <c r="P108" s="73">
        <f t="shared" si="15"/>
        <v>1</v>
      </c>
      <c r="Q108" s="73" t="str">
        <f>IF(P108&gt;1,"Multiple",VLOOKUP(O108,[1]Sheet1!$C$6:$D$17,2,0))</f>
        <v>Mission Viejo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100</v>
      </c>
      <c r="Z108" s="35">
        <v>0</v>
      </c>
      <c r="AA108" s="35">
        <v>0</v>
      </c>
      <c r="AB108" s="35">
        <v>0</v>
      </c>
      <c r="AC108" s="35">
        <v>0</v>
      </c>
      <c r="AD108">
        <v>0</v>
      </c>
      <c r="AE108">
        <v>0</v>
      </c>
      <c r="AF108">
        <v>100</v>
      </c>
      <c r="AG108">
        <v>0</v>
      </c>
      <c r="AH108" s="41">
        <v>1.0624999999999999E-4</v>
      </c>
      <c r="AI108" s="41">
        <v>6.7999999999999996E-3</v>
      </c>
      <c r="AJ108" s="53" t="e">
        <f>N108*#REF!/100</f>
        <v>#REF!</v>
      </c>
      <c r="AK108" s="43">
        <v>3.453125E-3</v>
      </c>
      <c r="AL108" s="43">
        <f t="shared" si="9"/>
        <v>1.9554485092261298E-3</v>
      </c>
      <c r="AM108" s="44" t="s">
        <v>52</v>
      </c>
      <c r="AN108" s="44" t="s">
        <v>53</v>
      </c>
      <c r="AO108" s="44" t="s">
        <v>53</v>
      </c>
      <c r="AP108" s="44" t="s">
        <v>114</v>
      </c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1"/>
      <c r="BC108" s="41"/>
      <c r="BD108" s="41"/>
      <c r="BE108" s="41"/>
      <c r="BF108" s="41"/>
      <c r="BG108" s="41"/>
      <c r="BH108" s="41"/>
      <c r="BI108" s="41"/>
      <c r="BJ108" s="46">
        <f>IFERROR(VLOOKUP(AP108,'Scoring and Weighting'!$B$10:$C$12,2,FALSE),'Scoring and Weighting'!$C$13)</f>
        <v>60</v>
      </c>
      <c r="BK108" s="46">
        <f>VLOOKUP(AL108,'Scoring and Weighting'!$C$19:$F$23,4)</f>
        <v>30</v>
      </c>
      <c r="BL108" s="47">
        <f t="shared" si="10"/>
        <v>40</v>
      </c>
      <c r="BM108" s="46" t="e">
        <f>VLOOKUP('Table with Jurisdictions'!AJ108,'Scoring and Weighting'!$C$35:$F$39,4,1)</f>
        <v>#REF!</v>
      </c>
      <c r="BN108" s="46">
        <f t="shared" si="11"/>
        <v>20</v>
      </c>
      <c r="BO108" s="48">
        <f>IFERROR(VLOOKUP(AM108,'Scoring and Weighting'!$B$63:$C$65,2,FALSE),1)</f>
        <v>1</v>
      </c>
      <c r="BP108" s="49">
        <f>BJ108*'Scoring and Weighting'!$C$55*'Table with Jurisdictions'!BO108</f>
        <v>15</v>
      </c>
      <c r="BQ108" s="49">
        <f>BK108*BO108*'Scoring and Weighting'!$C$56</f>
        <v>7.5</v>
      </c>
      <c r="BR108" s="49">
        <f>BO108*BL108*'Scoring and Weighting'!$C$57</f>
        <v>10</v>
      </c>
      <c r="BS108" s="49" t="e">
        <f>BO108*BM108*'Scoring and Weighting'!$C$58</f>
        <v>#REF!</v>
      </c>
      <c r="BT108" s="49">
        <f>BO108*BN108*'Scoring and Weighting'!$C$59</f>
        <v>3</v>
      </c>
      <c r="BU108" s="50" t="e">
        <f t="shared" si="14"/>
        <v>#REF!</v>
      </c>
      <c r="BX108" s="30">
        <f t="shared" si="16"/>
        <v>8</v>
      </c>
    </row>
    <row r="109" spans="1:76" x14ac:dyDescent="0.25">
      <c r="A109" s="35" t="s">
        <v>255</v>
      </c>
      <c r="B109" s="35">
        <v>36</v>
      </c>
      <c r="C109" s="75">
        <v>42570.947743055556</v>
      </c>
      <c r="D109" s="35" t="s">
        <v>394</v>
      </c>
      <c r="E109" s="35"/>
      <c r="F109" s="35"/>
      <c r="G109" s="35">
        <v>218</v>
      </c>
      <c r="H109" s="35" t="s">
        <v>95</v>
      </c>
      <c r="I109" s="35">
        <v>1</v>
      </c>
      <c r="J109" s="35">
        <v>0</v>
      </c>
      <c r="K109" s="35" t="s">
        <v>64</v>
      </c>
      <c r="L109" s="35" t="s">
        <v>50</v>
      </c>
      <c r="M109" s="35" t="s">
        <v>505</v>
      </c>
      <c r="N109" s="30">
        <v>44.1084068721173</v>
      </c>
      <c r="O109">
        <f t="shared" si="13"/>
        <v>8</v>
      </c>
      <c r="P109" s="73">
        <f t="shared" si="15"/>
        <v>1</v>
      </c>
      <c r="Q109" s="73" t="str">
        <f>IF(P109&gt;1,"Multiple",VLOOKUP(O109,[1]Sheet1!$C$6:$D$17,2,0))</f>
        <v>Mission Viejo</v>
      </c>
      <c r="R109" s="35">
        <v>0</v>
      </c>
      <c r="S109" s="35">
        <v>0</v>
      </c>
      <c r="T109" s="35">
        <v>0</v>
      </c>
      <c r="U109" s="35">
        <v>0</v>
      </c>
      <c r="V109" s="35">
        <v>0</v>
      </c>
      <c r="W109" s="35">
        <v>0</v>
      </c>
      <c r="X109" s="35">
        <v>0</v>
      </c>
      <c r="Y109" s="35">
        <v>100</v>
      </c>
      <c r="Z109" s="35">
        <v>0</v>
      </c>
      <c r="AA109" s="35">
        <v>0</v>
      </c>
      <c r="AB109" s="35">
        <v>0</v>
      </c>
      <c r="AC109" s="35">
        <v>0</v>
      </c>
      <c r="AD109">
        <v>0</v>
      </c>
      <c r="AE109">
        <v>0</v>
      </c>
      <c r="AF109">
        <v>96</v>
      </c>
      <c r="AG109">
        <v>0</v>
      </c>
      <c r="AH109" s="41">
        <v>7.3022727272727003E-2</v>
      </c>
      <c r="AI109" s="41">
        <v>7.3022727272727003E-2</v>
      </c>
      <c r="AJ109" s="53" t="e">
        <f>N109*#REF!/100</f>
        <v>#REF!</v>
      </c>
      <c r="AK109" s="43">
        <v>7.3022727272727003E-2</v>
      </c>
      <c r="AL109" s="43">
        <f t="shared" si="9"/>
        <v>4.1351582460837727E-2</v>
      </c>
      <c r="AM109" s="44"/>
      <c r="AN109" s="44"/>
      <c r="AO109" s="44"/>
      <c r="AP109" s="44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1"/>
      <c r="BC109" s="41"/>
      <c r="BD109" s="41"/>
      <c r="BE109" s="41"/>
      <c r="BF109" s="41"/>
      <c r="BG109" s="41"/>
      <c r="BH109" s="41"/>
      <c r="BI109" s="41"/>
      <c r="BJ109" s="46">
        <f>IFERROR(VLOOKUP(AP109,'Scoring and Weighting'!$B$10:$C$12,2,FALSE),'Scoring and Weighting'!$C$13)</f>
        <v>70</v>
      </c>
      <c r="BK109" s="46">
        <f>VLOOKUP(AL109,'Scoring and Weighting'!$C$19:$F$23,4)</f>
        <v>50</v>
      </c>
      <c r="BL109" s="47">
        <f t="shared" si="10"/>
        <v>40</v>
      </c>
      <c r="BM109" s="46" t="e">
        <f>VLOOKUP('Table with Jurisdictions'!AJ109,'Scoring and Weighting'!$C$35:$F$39,4,1)</f>
        <v>#REF!</v>
      </c>
      <c r="BN109" s="46">
        <f t="shared" si="11"/>
        <v>20</v>
      </c>
      <c r="BO109" s="48">
        <f>IFERROR(VLOOKUP(AM109,'Scoring and Weighting'!$B$63:$C$65,2,FALSE),1)</f>
        <v>1</v>
      </c>
      <c r="BP109" s="49">
        <f>BJ109*'Scoring and Weighting'!$C$55*'Table with Jurisdictions'!BO109</f>
        <v>17.5</v>
      </c>
      <c r="BQ109" s="49">
        <f>BK109*BO109*'Scoring and Weighting'!$C$56</f>
        <v>12.5</v>
      </c>
      <c r="BR109" s="49">
        <f>BO109*BL109*'Scoring and Weighting'!$C$57</f>
        <v>10</v>
      </c>
      <c r="BS109" s="49" t="e">
        <f>BO109*BM109*'Scoring and Weighting'!$C$58</f>
        <v>#REF!</v>
      </c>
      <c r="BT109" s="49">
        <f>BO109*BN109*'Scoring and Weighting'!$C$59</f>
        <v>3</v>
      </c>
      <c r="BU109" s="50" t="e">
        <f t="shared" si="14"/>
        <v>#REF!</v>
      </c>
      <c r="BX109" s="30">
        <f t="shared" si="16"/>
        <v>8</v>
      </c>
    </row>
    <row r="110" spans="1:76" x14ac:dyDescent="0.25">
      <c r="A110" s="35" t="s">
        <v>226</v>
      </c>
      <c r="B110" s="35">
        <v>36</v>
      </c>
      <c r="C110" s="75">
        <v>42578.87023148148</v>
      </c>
      <c r="D110" s="35" t="s">
        <v>394</v>
      </c>
      <c r="E110" s="35"/>
      <c r="F110" s="35"/>
      <c r="G110" s="35">
        <v>641</v>
      </c>
      <c r="H110" s="35" t="s">
        <v>62</v>
      </c>
      <c r="I110" s="35">
        <v>1</v>
      </c>
      <c r="J110" s="35">
        <v>0</v>
      </c>
      <c r="K110" s="35" t="s">
        <v>64</v>
      </c>
      <c r="L110" s="35" t="s">
        <v>50</v>
      </c>
      <c r="M110" s="35" t="s">
        <v>506</v>
      </c>
      <c r="N110" s="30">
        <v>123.714308632475</v>
      </c>
      <c r="O110">
        <f t="shared" si="13"/>
        <v>8</v>
      </c>
      <c r="P110" s="73">
        <f t="shared" si="15"/>
        <v>1</v>
      </c>
      <c r="Q110" s="73" t="str">
        <f>IF(P110&gt;1,"Multiple",VLOOKUP(O110,[1]Sheet1!$C$6:$D$17,2,0))</f>
        <v>Mission Viejo</v>
      </c>
      <c r="R110" s="35">
        <v>0</v>
      </c>
      <c r="S110" s="35">
        <v>0</v>
      </c>
      <c r="T110" s="35">
        <v>0</v>
      </c>
      <c r="U110" s="35">
        <v>0</v>
      </c>
      <c r="V110" s="35">
        <v>5</v>
      </c>
      <c r="W110" s="35">
        <v>0</v>
      </c>
      <c r="X110" s="35">
        <v>0</v>
      </c>
      <c r="Y110" s="35">
        <v>95</v>
      </c>
      <c r="Z110" s="35">
        <v>0</v>
      </c>
      <c r="AA110" s="35">
        <v>0</v>
      </c>
      <c r="AB110" s="35">
        <v>0</v>
      </c>
      <c r="AC110" s="35">
        <v>0</v>
      </c>
      <c r="AD110">
        <v>0</v>
      </c>
      <c r="AE110">
        <v>0</v>
      </c>
      <c r="AF110">
        <v>26</v>
      </c>
      <c r="AG110">
        <v>0</v>
      </c>
      <c r="AH110" s="41">
        <v>1.9124999999999999E-3</v>
      </c>
      <c r="AI110" s="41">
        <v>1.9124999999999999E-3</v>
      </c>
      <c r="AJ110" s="53" t="e">
        <f>N110*#REF!/100</f>
        <v>#REF!</v>
      </c>
      <c r="AK110" s="43">
        <v>1.9124999999999999E-3</v>
      </c>
      <c r="AL110" s="43">
        <f t="shared" si="9"/>
        <v>1.0830176358790874E-3</v>
      </c>
      <c r="AM110" s="44"/>
      <c r="AN110" s="44"/>
      <c r="AO110" s="44"/>
      <c r="AP110" s="44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1"/>
      <c r="BC110" s="41"/>
      <c r="BD110" s="41"/>
      <c r="BE110" s="41"/>
      <c r="BF110" s="41"/>
      <c r="BG110" s="41"/>
      <c r="BH110" s="41"/>
      <c r="BI110" s="41"/>
      <c r="BJ110" s="46">
        <f>IFERROR(VLOOKUP(AP110,'Scoring and Weighting'!$B$10:$C$12,2,FALSE),'Scoring and Weighting'!$C$13)</f>
        <v>70</v>
      </c>
      <c r="BK110" s="46">
        <f>VLOOKUP(AL110,'Scoring and Weighting'!$C$19:$F$23,4)</f>
        <v>30</v>
      </c>
      <c r="BL110" s="47">
        <f t="shared" si="10"/>
        <v>40</v>
      </c>
      <c r="BM110" s="46" t="e">
        <f>VLOOKUP('Table with Jurisdictions'!AJ110,'Scoring and Weighting'!$C$35:$F$39,4,1)</f>
        <v>#REF!</v>
      </c>
      <c r="BN110" s="46">
        <f t="shared" si="11"/>
        <v>20</v>
      </c>
      <c r="BO110" s="48">
        <f>IFERROR(VLOOKUP(AM110,'Scoring and Weighting'!$B$63:$C$65,2,FALSE),1)</f>
        <v>1</v>
      </c>
      <c r="BP110" s="49">
        <f>BJ110*'Scoring and Weighting'!$C$55*'Table with Jurisdictions'!BO110</f>
        <v>17.5</v>
      </c>
      <c r="BQ110" s="49">
        <f>BK110*BO110*'Scoring and Weighting'!$C$56</f>
        <v>7.5</v>
      </c>
      <c r="BR110" s="49">
        <f>BO110*BL110*'Scoring and Weighting'!$C$57</f>
        <v>10</v>
      </c>
      <c r="BS110" s="49" t="e">
        <f>BO110*BM110*'Scoring and Weighting'!$C$58</f>
        <v>#REF!</v>
      </c>
      <c r="BT110" s="49">
        <f>BO110*BN110*'Scoring and Weighting'!$C$59</f>
        <v>3</v>
      </c>
      <c r="BU110" s="50" t="e">
        <f t="shared" si="14"/>
        <v>#REF!</v>
      </c>
      <c r="BX110" s="30">
        <f t="shared" si="16"/>
        <v>8</v>
      </c>
    </row>
    <row r="111" spans="1:76" x14ac:dyDescent="0.25">
      <c r="A111" s="35" t="s">
        <v>224</v>
      </c>
      <c r="B111" s="35">
        <v>66</v>
      </c>
      <c r="C111" s="75">
        <v>42570.947743055556</v>
      </c>
      <c r="D111" s="35" t="s">
        <v>394</v>
      </c>
      <c r="E111" s="35"/>
      <c r="F111" s="35"/>
      <c r="G111" s="35">
        <v>455</v>
      </c>
      <c r="H111" s="35" t="s">
        <v>109</v>
      </c>
      <c r="I111" s="35">
        <v>1</v>
      </c>
      <c r="J111" s="35">
        <v>0</v>
      </c>
      <c r="K111" s="35" t="s">
        <v>64</v>
      </c>
      <c r="L111" s="35" t="s">
        <v>50</v>
      </c>
      <c r="M111" s="35" t="s">
        <v>507</v>
      </c>
      <c r="N111" s="30">
        <v>82.448032242400899</v>
      </c>
      <c r="O111">
        <f t="shared" si="13"/>
        <v>12</v>
      </c>
      <c r="P111" s="73">
        <f t="shared" si="15"/>
        <v>1</v>
      </c>
      <c r="Q111" s="73" t="str">
        <f>IF(P111&gt;1,"Multiple",VLOOKUP(O111,[1]Sheet1!$C$6:$D$17,2,0))</f>
        <v>San Juan Capistrano</v>
      </c>
      <c r="R111" s="35">
        <v>0</v>
      </c>
      <c r="S111" s="35">
        <v>0</v>
      </c>
      <c r="T111" s="35">
        <v>0</v>
      </c>
      <c r="U111" s="35">
        <v>0</v>
      </c>
      <c r="V111" s="35">
        <v>2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98</v>
      </c>
      <c r="AD111">
        <v>0</v>
      </c>
      <c r="AE111">
        <v>0</v>
      </c>
      <c r="AF111">
        <v>0</v>
      </c>
      <c r="AG111">
        <v>0</v>
      </c>
      <c r="AH111" s="41">
        <v>2.2949999999999999</v>
      </c>
      <c r="AI111" s="41">
        <v>2.2949999999999999</v>
      </c>
      <c r="AJ111" s="53" t="e">
        <f>N111*#REF!/100</f>
        <v>#REF!</v>
      </c>
      <c r="AK111" s="43">
        <v>2.2949999999999999</v>
      </c>
      <c r="AL111" s="43">
        <f t="shared" si="9"/>
        <v>1.2996211630549048</v>
      </c>
      <c r="AM111" s="44"/>
      <c r="AN111" s="44"/>
      <c r="AO111" s="44"/>
      <c r="AP111" s="44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1"/>
      <c r="BC111" s="41"/>
      <c r="BD111" s="41"/>
      <c r="BE111" s="41"/>
      <c r="BF111" s="41"/>
      <c r="BG111" s="41"/>
      <c r="BH111" s="41"/>
      <c r="BI111" s="41"/>
      <c r="BJ111" s="46">
        <f>IFERROR(VLOOKUP(AP111,'Scoring and Weighting'!$B$10:$C$12,2,FALSE),'Scoring and Weighting'!$C$13)</f>
        <v>70</v>
      </c>
      <c r="BK111" s="46">
        <f>VLOOKUP(AL111,'Scoring and Weighting'!$C$19:$F$23,4)</f>
        <v>100</v>
      </c>
      <c r="BL111" s="47">
        <f t="shared" si="10"/>
        <v>40</v>
      </c>
      <c r="BM111" s="46" t="e">
        <f>VLOOKUP('Table with Jurisdictions'!AJ111,'Scoring and Weighting'!$C$35:$F$39,4,1)</f>
        <v>#REF!</v>
      </c>
      <c r="BN111" s="46">
        <f t="shared" si="11"/>
        <v>20</v>
      </c>
      <c r="BO111" s="48">
        <f>IFERROR(VLOOKUP(AM111,'Scoring and Weighting'!$B$63:$C$65,2,FALSE),1)</f>
        <v>1</v>
      </c>
      <c r="BP111" s="49">
        <f>BJ111*'Scoring and Weighting'!$C$55*'Table with Jurisdictions'!BO111</f>
        <v>17.5</v>
      </c>
      <c r="BQ111" s="49">
        <f>BK111*BO111*'Scoring and Weighting'!$C$56</f>
        <v>25</v>
      </c>
      <c r="BR111" s="49">
        <f>BO111*BL111*'Scoring and Weighting'!$C$57</f>
        <v>10</v>
      </c>
      <c r="BS111" s="49" t="e">
        <f>BO111*BM111*'Scoring and Weighting'!$C$58</f>
        <v>#REF!</v>
      </c>
      <c r="BT111" s="49">
        <f>BO111*BN111*'Scoring and Weighting'!$C$59</f>
        <v>3</v>
      </c>
      <c r="BU111" s="50" t="e">
        <f t="shared" si="14"/>
        <v>#REF!</v>
      </c>
      <c r="BX111" s="30">
        <f t="shared" si="16"/>
        <v>12</v>
      </c>
    </row>
    <row r="112" spans="1:76" x14ac:dyDescent="0.25">
      <c r="A112" s="35" t="s">
        <v>266</v>
      </c>
      <c r="B112" s="35"/>
      <c r="C112" s="75">
        <v>42570.947731481479</v>
      </c>
      <c r="D112" s="35" t="s">
        <v>394</v>
      </c>
      <c r="E112" s="35"/>
      <c r="F112" s="35"/>
      <c r="G112" s="35">
        <v>11010</v>
      </c>
      <c r="H112" s="35" t="s">
        <v>175</v>
      </c>
      <c r="I112" s="35">
        <v>1</v>
      </c>
      <c r="J112" s="35">
        <v>0</v>
      </c>
      <c r="K112" s="35" t="s">
        <v>64</v>
      </c>
      <c r="L112" s="35" t="s">
        <v>50</v>
      </c>
      <c r="M112" s="35" t="s">
        <v>508</v>
      </c>
      <c r="N112" s="30" t="s">
        <v>527</v>
      </c>
      <c r="O112">
        <f t="shared" si="13"/>
        <v>0</v>
      </c>
      <c r="P112" s="73" t="s">
        <v>527</v>
      </c>
      <c r="Q112" s="73" t="s">
        <v>527</v>
      </c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>
        <v>0</v>
      </c>
      <c r="AE112">
        <v>0</v>
      </c>
      <c r="AF112">
        <v>0</v>
      </c>
      <c r="AG112">
        <v>0</v>
      </c>
      <c r="AH112" s="41">
        <v>3.3999999999999998E-3</v>
      </c>
      <c r="AI112" s="41">
        <v>3.3999999999999998E-3</v>
      </c>
      <c r="AJ112" s="53" t="e">
        <f>N112*#REF!/100</f>
        <v>#VALUE!</v>
      </c>
      <c r="AK112" s="43">
        <v>3.3999999999999998E-3</v>
      </c>
      <c r="AL112" s="43">
        <f t="shared" si="9"/>
        <v>1.9253646860072663E-3</v>
      </c>
      <c r="AM112" s="44"/>
      <c r="AN112" s="44"/>
      <c r="AO112" s="44"/>
      <c r="AP112" s="44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1"/>
      <c r="BC112" s="41"/>
      <c r="BD112" s="41"/>
      <c r="BE112" s="41"/>
      <c r="BF112" s="41"/>
      <c r="BG112" s="41"/>
      <c r="BH112" s="41"/>
      <c r="BI112" s="41"/>
      <c r="BJ112" s="46">
        <f>IFERROR(VLOOKUP(AP112,'Scoring and Weighting'!$B$10:$C$12,2,FALSE),'Scoring and Weighting'!$C$13)</f>
        <v>70</v>
      </c>
      <c r="BK112" s="46">
        <f>VLOOKUP(AL112,'Scoring and Weighting'!$C$19:$F$23,4)</f>
        <v>30</v>
      </c>
      <c r="BL112" s="47">
        <f t="shared" si="10"/>
        <v>40</v>
      </c>
      <c r="BM112" s="46" t="e">
        <f>VLOOKUP('Table with Jurisdictions'!AJ112,'Scoring and Weighting'!$C$35:$F$39,4,1)</f>
        <v>#VALUE!</v>
      </c>
      <c r="BN112" s="46">
        <f t="shared" si="11"/>
        <v>20</v>
      </c>
      <c r="BO112" s="48">
        <f>IFERROR(VLOOKUP(AM112,'Scoring and Weighting'!$B$63:$C$65,2,FALSE),1)</f>
        <v>1</v>
      </c>
      <c r="BP112" s="49">
        <f>BJ112*'Scoring and Weighting'!$C$55*'Table with Jurisdictions'!BO112</f>
        <v>17.5</v>
      </c>
      <c r="BQ112" s="49">
        <f>BK112*BO112*'Scoring and Weighting'!$C$56</f>
        <v>7.5</v>
      </c>
      <c r="BR112" s="49">
        <f>BO112*BL112*'Scoring and Weighting'!$C$57</f>
        <v>10</v>
      </c>
      <c r="BS112" s="49" t="e">
        <f>BO112*BM112*'Scoring and Weighting'!$C$58</f>
        <v>#VALUE!</v>
      </c>
      <c r="BT112" s="49">
        <f>BO112*BN112*'Scoring and Weighting'!$C$59</f>
        <v>3</v>
      </c>
      <c r="BU112" s="50" t="e">
        <f t="shared" si="14"/>
        <v>#VALUE!</v>
      </c>
      <c r="BX112" s="30">
        <f t="shared" si="16"/>
        <v>0</v>
      </c>
    </row>
    <row r="113" spans="1:76" x14ac:dyDescent="0.25">
      <c r="A113" s="35" t="s">
        <v>251</v>
      </c>
      <c r="B113" s="35">
        <v>36</v>
      </c>
      <c r="C113" s="75">
        <v>42586.653668981482</v>
      </c>
      <c r="D113" s="35" t="s">
        <v>394</v>
      </c>
      <c r="E113" s="35"/>
      <c r="F113" s="35"/>
      <c r="G113" s="35">
        <v>12155</v>
      </c>
      <c r="H113" s="35" t="s">
        <v>82</v>
      </c>
      <c r="I113" s="35">
        <v>1</v>
      </c>
      <c r="J113" s="35">
        <v>0</v>
      </c>
      <c r="K113" s="35" t="s">
        <v>64</v>
      </c>
      <c r="L113" s="35" t="s">
        <v>50</v>
      </c>
      <c r="M113" s="35" t="s">
        <v>509</v>
      </c>
      <c r="N113" s="30">
        <v>23.754710991463401</v>
      </c>
      <c r="O113">
        <f t="shared" si="13"/>
        <v>6</v>
      </c>
      <c r="P113" s="73">
        <f t="shared" si="15"/>
        <v>2</v>
      </c>
      <c r="Q113" s="73" t="str">
        <f>IF(P113&gt;1,"Multiple",VLOOKUP(O113,[1]Sheet1!$C$6:$D$17,2,0))</f>
        <v>Multiple</v>
      </c>
      <c r="R113" s="35">
        <v>0</v>
      </c>
      <c r="S113" s="35">
        <v>0</v>
      </c>
      <c r="T113" s="35">
        <v>0</v>
      </c>
      <c r="U113" s="35">
        <v>0</v>
      </c>
      <c r="V113" s="35">
        <v>88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12</v>
      </c>
      <c r="AD113">
        <v>0</v>
      </c>
      <c r="AE113">
        <v>0</v>
      </c>
      <c r="AF113">
        <v>0</v>
      </c>
      <c r="AG113">
        <v>0</v>
      </c>
      <c r="AH113" s="41">
        <v>7.1399999999999996E-3</v>
      </c>
      <c r="AI113" s="41">
        <v>4.0800000000000003E-2</v>
      </c>
      <c r="AJ113" s="53" t="e">
        <f>N113*#REF!/100</f>
        <v>#REF!</v>
      </c>
      <c r="AK113" s="43">
        <v>2.3970000000000002E-2</v>
      </c>
      <c r="AL113" s="43">
        <f t="shared" si="9"/>
        <v>1.3573821036351229E-2</v>
      </c>
      <c r="AM113" s="44"/>
      <c r="AN113" s="44"/>
      <c r="AO113" s="44"/>
      <c r="AP113" s="44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1"/>
      <c r="BC113" s="41"/>
      <c r="BD113" s="41"/>
      <c r="BE113" s="41"/>
      <c r="BF113" s="41"/>
      <c r="BG113" s="41"/>
      <c r="BH113" s="41"/>
      <c r="BI113" s="41"/>
      <c r="BJ113" s="46">
        <f>IFERROR(VLOOKUP(AP113,'Scoring and Weighting'!$B$10:$C$12,2,FALSE),'Scoring and Weighting'!$C$13)</f>
        <v>70</v>
      </c>
      <c r="BK113" s="46">
        <f>VLOOKUP(AL113,'Scoring and Weighting'!$C$19:$F$23,4)</f>
        <v>30</v>
      </c>
      <c r="BL113" s="47">
        <f t="shared" si="10"/>
        <v>40</v>
      </c>
      <c r="BM113" s="46" t="e">
        <f>VLOOKUP('Table with Jurisdictions'!AJ113,'Scoring and Weighting'!$C$35:$F$39,4,1)</f>
        <v>#REF!</v>
      </c>
      <c r="BN113" s="46">
        <f t="shared" si="11"/>
        <v>20</v>
      </c>
      <c r="BO113" s="48">
        <f>IFERROR(VLOOKUP(AM113,'Scoring and Weighting'!$B$63:$C$65,2,FALSE),1)</f>
        <v>1</v>
      </c>
      <c r="BP113" s="49">
        <f>BJ113*'Scoring and Weighting'!$C$55*'Table with Jurisdictions'!BO113</f>
        <v>17.5</v>
      </c>
      <c r="BQ113" s="49">
        <f>BK113*BO113*'Scoring and Weighting'!$C$56</f>
        <v>7.5</v>
      </c>
      <c r="BR113" s="49">
        <f>BO113*BL113*'Scoring and Weighting'!$C$57</f>
        <v>10</v>
      </c>
      <c r="BS113" s="49" t="e">
        <f>BO113*BM113*'Scoring and Weighting'!$C$58</f>
        <v>#REF!</v>
      </c>
      <c r="BT113" s="49">
        <f>BO113*BN113*'Scoring and Weighting'!$C$59</f>
        <v>3</v>
      </c>
      <c r="BU113" s="50" t="e">
        <f t="shared" si="14"/>
        <v>#REF!</v>
      </c>
      <c r="BX113" s="30">
        <f t="shared" si="16"/>
        <v>6</v>
      </c>
    </row>
    <row r="114" spans="1:76" x14ac:dyDescent="0.25">
      <c r="A114" s="35" t="s">
        <v>225</v>
      </c>
      <c r="B114" s="35">
        <v>36</v>
      </c>
      <c r="C114" s="75">
        <v>42586.652812499997</v>
      </c>
      <c r="D114" s="35" t="s">
        <v>394</v>
      </c>
      <c r="E114" s="35"/>
      <c r="F114" s="35"/>
      <c r="G114" s="35">
        <v>12036</v>
      </c>
      <c r="H114" s="35" t="s">
        <v>82</v>
      </c>
      <c r="I114" s="35">
        <v>1</v>
      </c>
      <c r="J114" s="35">
        <v>0</v>
      </c>
      <c r="K114" s="35" t="s">
        <v>64</v>
      </c>
      <c r="L114" s="35" t="s">
        <v>50</v>
      </c>
      <c r="M114" s="35" t="s">
        <v>510</v>
      </c>
      <c r="N114" s="30">
        <v>64.214352139165698</v>
      </c>
      <c r="O114">
        <f t="shared" si="13"/>
        <v>6</v>
      </c>
      <c r="P114" s="73">
        <f t="shared" si="15"/>
        <v>2</v>
      </c>
      <c r="Q114" s="73" t="str">
        <f>IF(P114&gt;1,"Multiple",VLOOKUP(O114,[1]Sheet1!$C$6:$D$17,2,0))</f>
        <v>Multiple</v>
      </c>
      <c r="R114" s="35">
        <v>0</v>
      </c>
      <c r="S114" s="35">
        <v>0</v>
      </c>
      <c r="T114" s="35">
        <v>0</v>
      </c>
      <c r="U114" s="35">
        <v>0</v>
      </c>
      <c r="V114" s="35">
        <v>86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5">
        <v>0</v>
      </c>
      <c r="AC114" s="35">
        <v>14</v>
      </c>
      <c r="AD114">
        <v>0</v>
      </c>
      <c r="AE114">
        <v>12</v>
      </c>
      <c r="AF114">
        <v>0</v>
      </c>
      <c r="AG114">
        <v>0</v>
      </c>
      <c r="AH114" s="41">
        <v>2.9750000000000002E-3</v>
      </c>
      <c r="AI114" s="41">
        <v>1.0200000000000001E-2</v>
      </c>
      <c r="AJ114" s="53" t="e">
        <f>N114*#REF!/100</f>
        <v>#REF!</v>
      </c>
      <c r="AK114" s="43">
        <v>6.5874999999999996E-3</v>
      </c>
      <c r="AL114" s="43">
        <f t="shared" si="9"/>
        <v>3.7303940791390778E-3</v>
      </c>
      <c r="AM114" s="44"/>
      <c r="AN114" s="44"/>
      <c r="AO114" s="44"/>
      <c r="AP114" s="44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1"/>
      <c r="BC114" s="41"/>
      <c r="BD114" s="41"/>
      <c r="BE114" s="41"/>
      <c r="BF114" s="41"/>
      <c r="BG114" s="41"/>
      <c r="BH114" s="41"/>
      <c r="BI114" s="41"/>
      <c r="BJ114" s="46">
        <f>IFERROR(VLOOKUP(AP114,'Scoring and Weighting'!$B$10:$C$12,2,FALSE),'Scoring and Weighting'!$C$13)</f>
        <v>70</v>
      </c>
      <c r="BK114" s="46">
        <f>VLOOKUP(AL114,'Scoring and Weighting'!$C$19:$F$23,4)</f>
        <v>30</v>
      </c>
      <c r="BL114" s="47">
        <f t="shared" si="10"/>
        <v>40</v>
      </c>
      <c r="BM114" s="46" t="e">
        <f>VLOOKUP('Table with Jurisdictions'!AJ114,'Scoring and Weighting'!$C$35:$F$39,4,1)</f>
        <v>#REF!</v>
      </c>
      <c r="BN114" s="46">
        <f t="shared" si="11"/>
        <v>20</v>
      </c>
      <c r="BO114" s="48">
        <f>IFERROR(VLOOKUP(AM114,'Scoring and Weighting'!$B$63:$C$65,2,FALSE),1)</f>
        <v>1</v>
      </c>
      <c r="BP114" s="49">
        <f>BJ114*'Scoring and Weighting'!$C$55*'Table with Jurisdictions'!BO114</f>
        <v>17.5</v>
      </c>
      <c r="BQ114" s="49">
        <f>BK114*BO114*'Scoring and Weighting'!$C$56</f>
        <v>7.5</v>
      </c>
      <c r="BR114" s="49">
        <f>BO114*BL114*'Scoring and Weighting'!$C$57</f>
        <v>10</v>
      </c>
      <c r="BS114" s="49" t="e">
        <f>BO114*BM114*'Scoring and Weighting'!$C$58</f>
        <v>#REF!</v>
      </c>
      <c r="BT114" s="49">
        <f>BO114*BN114*'Scoring and Weighting'!$C$59</f>
        <v>3</v>
      </c>
      <c r="BU114" s="50" t="e">
        <f t="shared" si="14"/>
        <v>#REF!</v>
      </c>
      <c r="BX114" s="30">
        <f t="shared" si="16"/>
        <v>6</v>
      </c>
    </row>
    <row r="115" spans="1:76" x14ac:dyDescent="0.25">
      <c r="A115" s="35" t="s">
        <v>115</v>
      </c>
      <c r="B115" s="35">
        <v>60</v>
      </c>
      <c r="C115" s="75">
        <v>42570.947731481479</v>
      </c>
      <c r="D115" s="35" t="s">
        <v>394</v>
      </c>
      <c r="E115" s="35"/>
      <c r="F115" s="35"/>
      <c r="G115" s="35">
        <v>316</v>
      </c>
      <c r="H115" s="35" t="s">
        <v>109</v>
      </c>
      <c r="I115" s="35">
        <v>1</v>
      </c>
      <c r="J115" s="35">
        <v>0</v>
      </c>
      <c r="K115" s="35" t="s">
        <v>64</v>
      </c>
      <c r="L115" s="35" t="s">
        <v>50</v>
      </c>
      <c r="M115" s="35" t="s">
        <v>511</v>
      </c>
      <c r="N115" s="30">
        <v>279.812104758516</v>
      </c>
      <c r="O115">
        <f t="shared" si="13"/>
        <v>8</v>
      </c>
      <c r="P115" s="73">
        <f t="shared" si="15"/>
        <v>1</v>
      </c>
      <c r="Q115" s="73" t="str">
        <f>IF(P115&gt;1,"Multiple",VLOOKUP(O115,[1]Sheet1!$C$6:$D$17,2,0))</f>
        <v>Mission Viejo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100</v>
      </c>
      <c r="Z115" s="35">
        <v>0</v>
      </c>
      <c r="AA115" s="35">
        <v>0</v>
      </c>
      <c r="AB115" s="35">
        <v>0</v>
      </c>
      <c r="AC115" s="35">
        <v>0</v>
      </c>
      <c r="AD115">
        <v>0</v>
      </c>
      <c r="AE115">
        <v>0</v>
      </c>
      <c r="AF115">
        <v>0</v>
      </c>
      <c r="AG115">
        <v>0</v>
      </c>
      <c r="AH115" s="41">
        <v>4.5900000000000003E-3</v>
      </c>
      <c r="AI115" s="41">
        <v>4.5900000000000003E-3</v>
      </c>
      <c r="AJ115" s="53" t="e">
        <f>N115*#REF!/100</f>
        <v>#REF!</v>
      </c>
      <c r="AK115" s="43">
        <v>4.5900000000000003E-3</v>
      </c>
      <c r="AL115" s="43">
        <f t="shared" si="9"/>
        <v>2.5992423261098096E-3</v>
      </c>
      <c r="AM115" s="44" t="s">
        <v>52</v>
      </c>
      <c r="AN115" s="44"/>
      <c r="AO115" s="44" t="s">
        <v>53</v>
      </c>
      <c r="AP115" s="44" t="s">
        <v>69</v>
      </c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1"/>
      <c r="BC115" s="41"/>
      <c r="BD115" s="41"/>
      <c r="BE115" s="41"/>
      <c r="BF115" s="41"/>
      <c r="BG115" s="41"/>
      <c r="BH115" s="41"/>
      <c r="BI115" s="41"/>
      <c r="BJ115" s="46">
        <f>IFERROR(VLOOKUP(AP115,'Scoring and Weighting'!$B$10:$C$12,2,FALSE),'Scoring and Weighting'!$C$13)</f>
        <v>80</v>
      </c>
      <c r="BK115" s="46">
        <f>VLOOKUP(AL115,'Scoring and Weighting'!$C$19:$F$23,4)</f>
        <v>30</v>
      </c>
      <c r="BL115" s="47">
        <f t="shared" si="10"/>
        <v>40</v>
      </c>
      <c r="BM115" s="46" t="e">
        <f>VLOOKUP('Table with Jurisdictions'!AJ115,'Scoring and Weighting'!$C$35:$F$39,4,1)</f>
        <v>#REF!</v>
      </c>
      <c r="BN115" s="46">
        <f t="shared" si="11"/>
        <v>20</v>
      </c>
      <c r="BO115" s="48">
        <f>IFERROR(VLOOKUP(AM115,'Scoring and Weighting'!$B$63:$C$65,2,FALSE),1)</f>
        <v>1</v>
      </c>
      <c r="BP115" s="49">
        <f>BJ115*'Scoring and Weighting'!$C$55*'Table with Jurisdictions'!BO115</f>
        <v>20</v>
      </c>
      <c r="BQ115" s="49">
        <f>BK115*BO115*'Scoring and Weighting'!$C$56</f>
        <v>7.5</v>
      </c>
      <c r="BR115" s="49">
        <f>BO115*BL115*'Scoring and Weighting'!$C$57</f>
        <v>10</v>
      </c>
      <c r="BS115" s="49" t="e">
        <f>BO115*BM115*'Scoring and Weighting'!$C$58</f>
        <v>#REF!</v>
      </c>
      <c r="BT115" s="49">
        <f>BO115*BN115*'Scoring and Weighting'!$C$59</f>
        <v>3</v>
      </c>
      <c r="BU115" s="50" t="e">
        <f t="shared" si="14"/>
        <v>#REF!</v>
      </c>
      <c r="BX115" s="30">
        <f t="shared" si="16"/>
        <v>8</v>
      </c>
    </row>
    <row r="116" spans="1:76" x14ac:dyDescent="0.25">
      <c r="A116" s="78" t="s">
        <v>227</v>
      </c>
      <c r="B116" s="78">
        <v>36</v>
      </c>
      <c r="C116" s="79">
        <v>42587.724108796298</v>
      </c>
      <c r="D116" s="78" t="s">
        <v>394</v>
      </c>
      <c r="E116" s="78"/>
      <c r="F116" s="78"/>
      <c r="G116" s="78">
        <v>316</v>
      </c>
      <c r="H116" s="78" t="s">
        <v>109</v>
      </c>
      <c r="I116" s="78">
        <v>1</v>
      </c>
      <c r="J116" s="78">
        <v>0</v>
      </c>
      <c r="K116" s="78" t="s">
        <v>64</v>
      </c>
      <c r="L116" s="78" t="s">
        <v>50</v>
      </c>
      <c r="M116" s="78" t="s">
        <v>512</v>
      </c>
      <c r="N116" s="80">
        <v>108.98900417237</v>
      </c>
      <c r="O116">
        <f t="shared" si="13"/>
        <v>5</v>
      </c>
      <c r="P116" s="73">
        <f t="shared" si="15"/>
        <v>1</v>
      </c>
      <c r="Q116" s="73" t="str">
        <f>IF(P116&gt;1,"Multiple",VLOOKUP(O116,[1]Sheet1!$C$6:$D$17,2,0))</f>
        <v>Laguna Niguel</v>
      </c>
      <c r="R116" s="78">
        <v>0</v>
      </c>
      <c r="S116" s="78">
        <v>0</v>
      </c>
      <c r="T116" s="78">
        <v>0</v>
      </c>
      <c r="U116" s="78">
        <v>0</v>
      </c>
      <c r="V116" s="78">
        <v>100</v>
      </c>
      <c r="W116" s="78">
        <v>0</v>
      </c>
      <c r="X116" s="78">
        <v>0</v>
      </c>
      <c r="Y116" s="78">
        <v>0</v>
      </c>
      <c r="Z116" s="78">
        <v>0</v>
      </c>
      <c r="AA116" s="78">
        <v>0</v>
      </c>
      <c r="AB116" s="78">
        <v>0</v>
      </c>
      <c r="AC116" s="78">
        <v>0</v>
      </c>
      <c r="AD116">
        <v>0</v>
      </c>
      <c r="AE116">
        <v>0</v>
      </c>
      <c r="AF116">
        <v>0</v>
      </c>
      <c r="AG116">
        <v>0</v>
      </c>
      <c r="AH116" s="41">
        <v>2.4225000000000002E-3</v>
      </c>
      <c r="AI116" s="41">
        <v>2.4225000000000002E-3</v>
      </c>
      <c r="AJ116" s="53" t="e">
        <f>N116*#REF!/100</f>
        <v>#REF!</v>
      </c>
      <c r="AK116" s="43">
        <v>2.4225000000000002E-3</v>
      </c>
      <c r="AL116" s="43">
        <f t="shared" si="9"/>
        <v>1.3718223387801773E-3</v>
      </c>
      <c r="AM116" s="44"/>
      <c r="AN116" s="44"/>
      <c r="AO116" s="44"/>
      <c r="AP116" s="44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1"/>
      <c r="BC116" s="41"/>
      <c r="BD116" s="41"/>
      <c r="BE116" s="41"/>
      <c r="BF116" s="41"/>
      <c r="BG116" s="41"/>
      <c r="BH116" s="41"/>
      <c r="BI116" s="41"/>
      <c r="BJ116" s="46">
        <f>IFERROR(VLOOKUP(AP116,'Scoring and Weighting'!$B$10:$C$12,2,FALSE),'Scoring and Weighting'!$C$13)</f>
        <v>70</v>
      </c>
      <c r="BK116" s="46">
        <f>VLOOKUP(AL116,'Scoring and Weighting'!$C$19:$F$23,4)</f>
        <v>30</v>
      </c>
      <c r="BL116" s="47">
        <f t="shared" si="10"/>
        <v>40</v>
      </c>
      <c r="BM116" s="46" t="e">
        <f>VLOOKUP('Table with Jurisdictions'!AJ116,'Scoring and Weighting'!$C$35:$F$39,4,1)</f>
        <v>#REF!</v>
      </c>
      <c r="BN116" s="46">
        <f t="shared" si="11"/>
        <v>20</v>
      </c>
      <c r="BO116" s="48">
        <f>IFERROR(VLOOKUP(AM116,'Scoring and Weighting'!$B$63:$C$65,2,FALSE),1)</f>
        <v>1</v>
      </c>
      <c r="BP116" s="49">
        <f>BJ116*'Scoring and Weighting'!$C$55*'Table with Jurisdictions'!BO116</f>
        <v>17.5</v>
      </c>
      <c r="BQ116" s="49">
        <f>BK116*BO116*'Scoring and Weighting'!$C$56</f>
        <v>7.5</v>
      </c>
      <c r="BR116" s="49">
        <f>BO116*BL116*'Scoring and Weighting'!$C$57</f>
        <v>10</v>
      </c>
      <c r="BS116" s="49" t="e">
        <f>BO116*BM116*'Scoring and Weighting'!$C$58</f>
        <v>#REF!</v>
      </c>
      <c r="BT116" s="49">
        <f>BO116*BN116*'Scoring and Weighting'!$C$59</f>
        <v>3</v>
      </c>
      <c r="BU116" s="50" t="e">
        <f t="shared" si="14"/>
        <v>#REF!</v>
      </c>
      <c r="BX116" s="30">
        <f t="shared" si="16"/>
        <v>5</v>
      </c>
    </row>
    <row r="117" spans="1:76" x14ac:dyDescent="0.25">
      <c r="A117" s="35" t="s">
        <v>274</v>
      </c>
      <c r="B117" s="35">
        <v>48</v>
      </c>
      <c r="C117" s="75">
        <v>42570.947731481479</v>
      </c>
      <c r="D117" s="35" t="s">
        <v>394</v>
      </c>
      <c r="E117" s="35"/>
      <c r="F117" s="35"/>
      <c r="G117" s="35">
        <v>9082</v>
      </c>
      <c r="H117" s="35" t="s">
        <v>49</v>
      </c>
      <c r="I117" s="35">
        <v>1</v>
      </c>
      <c r="J117" s="35">
        <v>0</v>
      </c>
      <c r="K117" s="35" t="s">
        <v>64</v>
      </c>
      <c r="L117" s="35" t="s">
        <v>50</v>
      </c>
      <c r="M117" s="35" t="s">
        <v>513</v>
      </c>
      <c r="N117" s="30" t="s">
        <v>527</v>
      </c>
      <c r="O117">
        <f t="shared" si="13"/>
        <v>0</v>
      </c>
      <c r="P117" s="73" t="s">
        <v>527</v>
      </c>
      <c r="Q117" s="73" t="s">
        <v>527</v>
      </c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>
        <v>0</v>
      </c>
      <c r="AE117">
        <v>0</v>
      </c>
      <c r="AF117">
        <v>0</v>
      </c>
      <c r="AG117">
        <v>0</v>
      </c>
      <c r="AH117" s="41">
        <v>0.20399999999999999</v>
      </c>
      <c r="AI117" s="41">
        <v>0.20399999999999999</v>
      </c>
      <c r="AJ117" s="53" t="e">
        <f>N117*#REF!/100</f>
        <v>#VALUE!</v>
      </c>
      <c r="AK117" s="43">
        <v>0.20399999999999999</v>
      </c>
      <c r="AL117" s="43">
        <f t="shared" si="9"/>
        <v>0.11552188116043596</v>
      </c>
      <c r="AM117" s="44"/>
      <c r="AN117" s="44"/>
      <c r="AO117" s="44"/>
      <c r="AP117" s="44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1"/>
      <c r="BC117" s="41"/>
      <c r="BD117" s="41"/>
      <c r="BE117" s="41"/>
      <c r="BF117" s="41"/>
      <c r="BG117" s="41"/>
      <c r="BH117" s="41"/>
      <c r="BI117" s="41"/>
      <c r="BJ117" s="46">
        <f>IFERROR(VLOOKUP(AP117,'Scoring and Weighting'!$B$10:$C$12,2,FALSE),'Scoring and Weighting'!$C$13)</f>
        <v>70</v>
      </c>
      <c r="BK117" s="46">
        <f>VLOOKUP(AL117,'Scoring and Weighting'!$C$19:$F$23,4)</f>
        <v>70</v>
      </c>
      <c r="BL117" s="47">
        <f t="shared" si="10"/>
        <v>40</v>
      </c>
      <c r="BM117" s="46" t="e">
        <f>VLOOKUP('Table with Jurisdictions'!AJ117,'Scoring and Weighting'!$C$35:$F$39,4,1)</f>
        <v>#VALUE!</v>
      </c>
      <c r="BN117" s="46">
        <f t="shared" si="11"/>
        <v>20</v>
      </c>
      <c r="BO117" s="48">
        <f>IFERROR(VLOOKUP(AM117,'Scoring and Weighting'!$B$63:$C$65,2,FALSE),1)</f>
        <v>1</v>
      </c>
      <c r="BP117" s="49">
        <f>BJ117*'Scoring and Weighting'!$C$55*'Table with Jurisdictions'!BO117</f>
        <v>17.5</v>
      </c>
      <c r="BQ117" s="49">
        <f>BK117*BO117*'Scoring and Weighting'!$C$56</f>
        <v>17.5</v>
      </c>
      <c r="BR117" s="49">
        <f>BO117*BL117*'Scoring and Weighting'!$C$57</f>
        <v>10</v>
      </c>
      <c r="BS117" s="49" t="e">
        <f>BO117*BM117*'Scoring and Weighting'!$C$58</f>
        <v>#VALUE!</v>
      </c>
      <c r="BT117" s="49">
        <f>BO117*BN117*'Scoring and Weighting'!$C$59</f>
        <v>3</v>
      </c>
      <c r="BU117" s="50" t="e">
        <f t="shared" si="14"/>
        <v>#VALUE!</v>
      </c>
      <c r="BX117" s="30">
        <f t="shared" si="16"/>
        <v>0</v>
      </c>
    </row>
    <row r="118" spans="1:76" x14ac:dyDescent="0.25">
      <c r="A118" s="78" t="s">
        <v>228</v>
      </c>
      <c r="B118" s="78">
        <v>48</v>
      </c>
      <c r="C118" s="79">
        <v>42586.657696759263</v>
      </c>
      <c r="D118" s="78" t="s">
        <v>394</v>
      </c>
      <c r="E118" s="78"/>
      <c r="F118" s="78"/>
      <c r="G118" s="78">
        <v>12032</v>
      </c>
      <c r="H118" s="78" t="s">
        <v>82</v>
      </c>
      <c r="I118" s="78">
        <v>1</v>
      </c>
      <c r="J118" s="78">
        <v>0</v>
      </c>
      <c r="K118" s="78" t="s">
        <v>64</v>
      </c>
      <c r="L118" s="78" t="s">
        <v>50</v>
      </c>
      <c r="M118" s="78" t="s">
        <v>514</v>
      </c>
      <c r="N118" s="80">
        <v>191.83607914214099</v>
      </c>
      <c r="O118">
        <f t="shared" si="13"/>
        <v>8</v>
      </c>
      <c r="P118" s="86">
        <f t="shared" si="15"/>
        <v>1</v>
      </c>
      <c r="Q118" s="86" t="str">
        <f>IF(P118&gt;1,"Multiple",VLOOKUP(O118,[1]Sheet1!$C$6:$D$17,2,0))</f>
        <v>Mission Viejo</v>
      </c>
      <c r="R118" s="78">
        <v>0</v>
      </c>
      <c r="S118" s="78">
        <v>0</v>
      </c>
      <c r="T118" s="78">
        <v>0</v>
      </c>
      <c r="U118" s="78">
        <v>0</v>
      </c>
      <c r="V118" s="78">
        <v>0</v>
      </c>
      <c r="W118" s="78">
        <v>0</v>
      </c>
      <c r="X118" s="78">
        <v>0</v>
      </c>
      <c r="Y118" s="78">
        <v>100</v>
      </c>
      <c r="Z118" s="78">
        <v>0</v>
      </c>
      <c r="AA118" s="78">
        <v>0</v>
      </c>
      <c r="AB118" s="78">
        <v>0</v>
      </c>
      <c r="AC118" s="78">
        <v>0</v>
      </c>
      <c r="AD118">
        <v>0</v>
      </c>
      <c r="AE118">
        <v>0</v>
      </c>
      <c r="AF118">
        <v>0</v>
      </c>
      <c r="AG118">
        <v>0</v>
      </c>
      <c r="AH118" s="41">
        <v>6.8000000000000005E-2</v>
      </c>
      <c r="AI118" s="41">
        <v>6.8000000000000005E-2</v>
      </c>
      <c r="AJ118" s="53" t="e">
        <f>N118*#REF!/100</f>
        <v>#REF!</v>
      </c>
      <c r="AK118" s="43">
        <v>6.8000000000000005E-2</v>
      </c>
      <c r="AL118" s="43">
        <f t="shared" si="9"/>
        <v>3.850729372014533E-2</v>
      </c>
      <c r="AM118" s="44" t="s">
        <v>52</v>
      </c>
      <c r="AN118" s="44" t="s">
        <v>53</v>
      </c>
      <c r="AO118" s="44" t="s">
        <v>53</v>
      </c>
      <c r="AP118" s="44" t="s">
        <v>114</v>
      </c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1"/>
      <c r="BC118" s="41"/>
      <c r="BD118" s="41"/>
      <c r="BE118" s="41"/>
      <c r="BF118" s="41"/>
      <c r="BG118" s="41"/>
      <c r="BH118" s="41"/>
      <c r="BI118" s="41"/>
      <c r="BJ118" s="46">
        <f>IFERROR(VLOOKUP(AP118,'Scoring and Weighting'!$B$10:$C$12,2,FALSE),'Scoring and Weighting'!$C$13)</f>
        <v>60</v>
      </c>
      <c r="BK118" s="46">
        <f>VLOOKUP(AL118,'Scoring and Weighting'!$C$19:$F$23,4)</f>
        <v>50</v>
      </c>
      <c r="BL118" s="47">
        <f t="shared" si="10"/>
        <v>40</v>
      </c>
      <c r="BM118" s="46" t="e">
        <f>VLOOKUP('Table with Jurisdictions'!AJ118,'Scoring and Weighting'!$C$35:$F$39,4,1)</f>
        <v>#REF!</v>
      </c>
      <c r="BN118" s="46">
        <f t="shared" si="11"/>
        <v>20</v>
      </c>
      <c r="BO118" s="48">
        <f>IFERROR(VLOOKUP(AM118,'Scoring and Weighting'!$B$63:$C$65,2,FALSE),1)</f>
        <v>1</v>
      </c>
      <c r="BP118" s="49">
        <f>BJ118*'Scoring and Weighting'!$C$55*'Table with Jurisdictions'!BO118</f>
        <v>15</v>
      </c>
      <c r="BQ118" s="49">
        <f>BK118*BO118*'Scoring and Weighting'!$C$56</f>
        <v>12.5</v>
      </c>
      <c r="BR118" s="49">
        <f>BO118*BL118*'Scoring and Weighting'!$C$57</f>
        <v>10</v>
      </c>
      <c r="BS118" s="49" t="e">
        <f>BO118*BM118*'Scoring and Weighting'!$C$58</f>
        <v>#REF!</v>
      </c>
      <c r="BT118" s="49">
        <f>BO118*BN118*'Scoring and Weighting'!$C$59</f>
        <v>3</v>
      </c>
      <c r="BU118" s="50" t="e">
        <f t="shared" si="14"/>
        <v>#REF!</v>
      </c>
      <c r="BX118" s="30">
        <f t="shared" si="16"/>
        <v>8</v>
      </c>
    </row>
    <row r="119" spans="1:76" x14ac:dyDescent="0.25">
      <c r="A119" s="35" t="s">
        <v>239</v>
      </c>
      <c r="B119" s="35">
        <v>108</v>
      </c>
      <c r="C119" s="75">
        <v>42570.947731481479</v>
      </c>
      <c r="D119" s="35" t="s">
        <v>394</v>
      </c>
      <c r="E119" s="35"/>
      <c r="F119" s="35"/>
      <c r="G119" s="35">
        <v>68</v>
      </c>
      <c r="H119" s="35" t="s">
        <v>178</v>
      </c>
      <c r="I119" s="35">
        <v>1</v>
      </c>
      <c r="J119" s="35">
        <v>0</v>
      </c>
      <c r="K119" s="35" t="s">
        <v>64</v>
      </c>
      <c r="L119" s="35" t="s">
        <v>50</v>
      </c>
      <c r="M119" s="35" t="s">
        <v>515</v>
      </c>
      <c r="N119" s="30">
        <v>517.47333168418402</v>
      </c>
      <c r="O119" s="29">
        <f t="shared" si="13"/>
        <v>9</v>
      </c>
      <c r="P119" s="73">
        <f t="shared" si="15"/>
        <v>1</v>
      </c>
      <c r="Q119" s="73" t="str">
        <f>IF(P119&gt;1,"Multiple",VLOOKUP(O119,[1]Sheet1!$C$6:$D$17,2,0))</f>
        <v>Orange County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100</v>
      </c>
      <c r="AA119" s="35">
        <v>0</v>
      </c>
      <c r="AB119" s="35">
        <v>0</v>
      </c>
      <c r="AC119" s="35">
        <v>0</v>
      </c>
      <c r="AD119">
        <v>0</v>
      </c>
      <c r="AE119">
        <v>0</v>
      </c>
      <c r="AH119" s="41">
        <v>5.1000000000000004E-3</v>
      </c>
      <c r="AI119" s="41">
        <v>5.1000000000000004E-3</v>
      </c>
      <c r="AJ119" s="53" t="e">
        <f>N119*#REF!/100</f>
        <v>#REF!</v>
      </c>
      <c r="AK119" s="43">
        <v>5.1000000000000004E-3</v>
      </c>
      <c r="AL119" s="43">
        <f t="shared" si="9"/>
        <v>2.8880470290108999E-3</v>
      </c>
      <c r="AM119" s="44"/>
      <c r="AN119" s="44"/>
      <c r="AO119" s="44"/>
      <c r="AP119" s="44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1"/>
      <c r="BC119" s="41"/>
      <c r="BD119" s="41"/>
      <c r="BE119" s="41"/>
      <c r="BF119" s="41"/>
      <c r="BG119" s="41"/>
      <c r="BH119" s="41"/>
      <c r="BI119" s="41"/>
      <c r="BJ119" s="46">
        <f>IFERROR(VLOOKUP(AP119,'Scoring and Weighting'!$B$10:$C$12,2,FALSE),'Scoring and Weighting'!$C$13)</f>
        <v>70</v>
      </c>
      <c r="BK119" s="46">
        <f>VLOOKUP(AL119,'Scoring and Weighting'!$C$19:$F$23,4)</f>
        <v>30</v>
      </c>
      <c r="BL119" s="47">
        <f t="shared" si="10"/>
        <v>40</v>
      </c>
      <c r="BM119" s="46" t="e">
        <f>VLOOKUP('Table with Jurisdictions'!AJ119,'Scoring and Weighting'!$C$35:$F$39,4,1)</f>
        <v>#REF!</v>
      </c>
      <c r="BN119" s="46">
        <f t="shared" si="11"/>
        <v>20</v>
      </c>
      <c r="BO119" s="48">
        <f>IFERROR(VLOOKUP(AM119,'Scoring and Weighting'!$B$63:$C$65,2,FALSE),1)</f>
        <v>1</v>
      </c>
      <c r="BP119" s="49">
        <f>BJ119*'Scoring and Weighting'!$C$55*'Table with Jurisdictions'!BO119</f>
        <v>17.5</v>
      </c>
      <c r="BQ119" s="49">
        <f>BK119*BO119*'Scoring and Weighting'!$C$56</f>
        <v>7.5</v>
      </c>
      <c r="BR119" s="49">
        <f>BO119*BL119*'Scoring and Weighting'!$C$57</f>
        <v>10</v>
      </c>
      <c r="BS119" s="49" t="e">
        <f>BO119*BM119*'Scoring and Weighting'!$C$58</f>
        <v>#REF!</v>
      </c>
      <c r="BT119" s="49">
        <f>BO119*BN119*'Scoring and Weighting'!$C$59</f>
        <v>3</v>
      </c>
      <c r="BU119" s="50" t="e">
        <f t="shared" si="14"/>
        <v>#REF!</v>
      </c>
      <c r="BX119" s="30">
        <f t="shared" si="16"/>
        <v>9</v>
      </c>
    </row>
    <row r="120" spans="1:76" x14ac:dyDescent="0.25">
      <c r="A120" s="35" t="s">
        <v>245</v>
      </c>
      <c r="B120" s="35">
        <v>24</v>
      </c>
      <c r="C120" s="75">
        <v>42570.947731481479</v>
      </c>
      <c r="D120" s="35" t="s">
        <v>394</v>
      </c>
      <c r="E120" s="35"/>
      <c r="F120" s="35"/>
      <c r="G120" s="35">
        <v>35</v>
      </c>
      <c r="H120" s="35" t="s">
        <v>263</v>
      </c>
      <c r="I120" s="35">
        <v>1</v>
      </c>
      <c r="J120" s="35">
        <v>0</v>
      </c>
      <c r="K120" s="35" t="s">
        <v>64</v>
      </c>
      <c r="L120" s="35" t="s">
        <v>50</v>
      </c>
      <c r="M120" s="35" t="s">
        <v>516</v>
      </c>
      <c r="N120" s="30">
        <v>2068.2372335034102</v>
      </c>
      <c r="O120" s="29">
        <f t="shared" si="13"/>
        <v>9</v>
      </c>
      <c r="P120" s="73">
        <f t="shared" si="15"/>
        <v>1</v>
      </c>
      <c r="Q120" s="73" t="str">
        <f>IF(P120&gt;1,"Multiple",VLOOKUP(O120,[1]Sheet1!$C$6:$D$17,2,0))</f>
        <v>Orange County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100</v>
      </c>
      <c r="AA120" s="35">
        <v>0</v>
      </c>
      <c r="AB120" s="35">
        <v>0</v>
      </c>
      <c r="AC120" s="35">
        <v>0</v>
      </c>
      <c r="AD120">
        <v>0</v>
      </c>
      <c r="AE120">
        <v>0</v>
      </c>
      <c r="AH120" s="41">
        <v>1.4279999999999999E-2</v>
      </c>
      <c r="AI120" s="41">
        <v>1.4279999999999999E-2</v>
      </c>
      <c r="AJ120" s="53" t="e">
        <f>N120*#REF!/100</f>
        <v>#REF!</v>
      </c>
      <c r="AK120" s="43">
        <v>1.4279999999999999E-2</v>
      </c>
      <c r="AL120" s="43">
        <f t="shared" si="9"/>
        <v>8.0865316812305191E-3</v>
      </c>
      <c r="AM120" s="44"/>
      <c r="AN120" s="44"/>
      <c r="AO120" s="44"/>
      <c r="AP120" s="44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1"/>
      <c r="BC120" s="41"/>
      <c r="BD120" s="41"/>
      <c r="BE120" s="41"/>
      <c r="BF120" s="41"/>
      <c r="BG120" s="41"/>
      <c r="BH120" s="41"/>
      <c r="BI120" s="41"/>
      <c r="BJ120" s="46">
        <f>IFERROR(VLOOKUP(AP120,'Scoring and Weighting'!$B$10:$C$12,2,FALSE),'Scoring and Weighting'!$C$13)</f>
        <v>70</v>
      </c>
      <c r="BK120" s="46">
        <f>VLOOKUP(AL120,'Scoring and Weighting'!$C$19:$F$23,4)</f>
        <v>30</v>
      </c>
      <c r="BL120" s="47">
        <f t="shared" si="10"/>
        <v>40</v>
      </c>
      <c r="BM120" s="46" t="e">
        <f>VLOOKUP('Table with Jurisdictions'!AJ120,'Scoring and Weighting'!$C$35:$F$39,4,1)</f>
        <v>#REF!</v>
      </c>
      <c r="BN120" s="46">
        <f t="shared" si="11"/>
        <v>20</v>
      </c>
      <c r="BO120" s="48">
        <f>IFERROR(VLOOKUP(AM120,'Scoring and Weighting'!$B$63:$C$65,2,FALSE),1)</f>
        <v>1</v>
      </c>
      <c r="BP120" s="49">
        <f>BJ120*'Scoring and Weighting'!$C$55*'Table with Jurisdictions'!BO120</f>
        <v>17.5</v>
      </c>
      <c r="BQ120" s="49">
        <f>BK120*BO120*'Scoring and Weighting'!$C$56</f>
        <v>7.5</v>
      </c>
      <c r="BR120" s="49">
        <f>BO120*BL120*'Scoring and Weighting'!$C$57</f>
        <v>10</v>
      </c>
      <c r="BS120" s="49" t="e">
        <f>BO120*BM120*'Scoring and Weighting'!$C$58</f>
        <v>#REF!</v>
      </c>
      <c r="BT120" s="49">
        <f>BO120*BN120*'Scoring and Weighting'!$C$59</f>
        <v>3</v>
      </c>
      <c r="BU120" s="50" t="e">
        <f t="shared" si="14"/>
        <v>#REF!</v>
      </c>
      <c r="BX120" s="30">
        <f t="shared" si="16"/>
        <v>9</v>
      </c>
    </row>
    <row r="121" spans="1:76" x14ac:dyDescent="0.25">
      <c r="A121" s="35" t="s">
        <v>246</v>
      </c>
      <c r="B121" s="35">
        <v>60</v>
      </c>
      <c r="C121" s="75">
        <v>42570.947743055556</v>
      </c>
      <c r="D121" s="35" t="s">
        <v>394</v>
      </c>
      <c r="E121" s="35"/>
      <c r="F121" s="35"/>
      <c r="G121" s="35">
        <v>68</v>
      </c>
      <c r="H121" s="35" t="s">
        <v>178</v>
      </c>
      <c r="I121" s="35">
        <v>1</v>
      </c>
      <c r="J121" s="35">
        <v>0</v>
      </c>
      <c r="K121" s="35" t="s">
        <v>64</v>
      </c>
      <c r="L121" s="35" t="s">
        <v>50</v>
      </c>
      <c r="M121" s="35" t="s">
        <v>517</v>
      </c>
      <c r="N121" s="73">
        <v>128.25278759065401</v>
      </c>
      <c r="O121" s="29">
        <f t="shared" si="13"/>
        <v>9</v>
      </c>
      <c r="P121" s="73" t="s">
        <v>527</v>
      </c>
      <c r="Q121" s="73" t="s">
        <v>527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100</v>
      </c>
      <c r="AA121" s="35">
        <v>0</v>
      </c>
      <c r="AB121" s="35">
        <v>0</v>
      </c>
      <c r="AC121" s="35">
        <v>0</v>
      </c>
      <c r="AH121" s="41">
        <v>1.6830000000000001E-2</v>
      </c>
      <c r="AI121" s="41">
        <v>1.6830000000000001E-2</v>
      </c>
      <c r="AJ121" s="53" t="e">
        <f>N121*#REF!/100</f>
        <v>#REF!</v>
      </c>
      <c r="AK121" s="43">
        <v>1.6830000000000001E-2</v>
      </c>
      <c r="AL121" s="43">
        <f t="shared" si="9"/>
        <v>9.5305551957359687E-3</v>
      </c>
      <c r="AM121" s="44"/>
      <c r="AN121" s="44"/>
      <c r="AO121" s="44"/>
      <c r="AP121" s="44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1"/>
      <c r="BC121" s="41"/>
      <c r="BD121" s="41"/>
      <c r="BE121" s="41"/>
      <c r="BF121" s="41"/>
      <c r="BG121" s="41"/>
      <c r="BH121" s="41"/>
      <c r="BI121" s="41"/>
      <c r="BJ121" s="46">
        <f>IFERROR(VLOOKUP(AP121,'Scoring and Weighting'!$B$10:$C$12,2,FALSE),'Scoring and Weighting'!$C$13)</f>
        <v>70</v>
      </c>
      <c r="BK121" s="46">
        <f>VLOOKUP(AL121,'Scoring and Weighting'!$C$19:$F$23,4)</f>
        <v>30</v>
      </c>
      <c r="BL121" s="47">
        <f t="shared" si="10"/>
        <v>40</v>
      </c>
      <c r="BM121" s="46" t="e">
        <f>VLOOKUP('Table with Jurisdictions'!AJ121,'Scoring and Weighting'!$C$35:$F$39,4,1)</f>
        <v>#REF!</v>
      </c>
      <c r="BN121" s="46">
        <f t="shared" si="11"/>
        <v>20</v>
      </c>
      <c r="BO121" s="48">
        <f>IFERROR(VLOOKUP(AM121,'Scoring and Weighting'!$B$63:$C$65,2,FALSE),1)</f>
        <v>1</v>
      </c>
      <c r="BP121" s="49">
        <f>BJ121*'Scoring and Weighting'!$C$55*'Table with Jurisdictions'!BO121</f>
        <v>17.5</v>
      </c>
      <c r="BQ121" s="49">
        <f>BK121*BO121*'Scoring and Weighting'!$C$56</f>
        <v>7.5</v>
      </c>
      <c r="BR121" s="49">
        <f>BO121*BL121*'Scoring and Weighting'!$C$57</f>
        <v>10</v>
      </c>
      <c r="BS121" s="49" t="e">
        <f>BO121*BM121*'Scoring and Weighting'!$C$58</f>
        <v>#REF!</v>
      </c>
      <c r="BT121" s="49">
        <f>BO121*BN121*'Scoring and Weighting'!$C$59</f>
        <v>3</v>
      </c>
      <c r="BU121" s="50" t="e">
        <f t="shared" si="14"/>
        <v>#REF!</v>
      </c>
      <c r="BX121" s="30">
        <f t="shared" si="16"/>
        <v>9</v>
      </c>
    </row>
    <row r="122" spans="1:76" x14ac:dyDescent="0.25">
      <c r="A122" s="35" t="s">
        <v>258</v>
      </c>
      <c r="B122" s="35">
        <v>120</v>
      </c>
      <c r="C122" s="75">
        <v>42591.878854166665</v>
      </c>
      <c r="D122" s="35" t="s">
        <v>498</v>
      </c>
      <c r="E122" s="35"/>
      <c r="F122" s="35"/>
      <c r="G122" s="35">
        <v>11508</v>
      </c>
      <c r="H122" s="35" t="s">
        <v>261</v>
      </c>
      <c r="I122" s="35">
        <v>1</v>
      </c>
      <c r="J122" s="35">
        <v>0</v>
      </c>
      <c r="K122" s="35" t="s">
        <v>180</v>
      </c>
      <c r="L122" s="35" t="s">
        <v>50</v>
      </c>
      <c r="M122" s="35" t="s">
        <v>518</v>
      </c>
      <c r="N122" s="122">
        <v>131.10364704384099</v>
      </c>
      <c r="O122" s="29">
        <f t="shared" ref="O122" si="18">ROUND(SUMPRODUCT(R122:AC122,$R$1:$AC$1)/100,0)</f>
        <v>11</v>
      </c>
      <c r="P122" s="73">
        <v>1</v>
      </c>
      <c r="Q122" s="73" t="s">
        <v>180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100</v>
      </c>
      <c r="AC122" s="35">
        <v>0</v>
      </c>
      <c r="AH122" s="87">
        <v>8.1600000000000006E-2</v>
      </c>
      <c r="AI122" s="87">
        <v>8.1600000000000006E-2</v>
      </c>
      <c r="AJ122" s="88" t="e">
        <f>N122*#REF!/100</f>
        <v>#REF!</v>
      </c>
      <c r="AK122" s="89">
        <v>8.1600000000000006E-2</v>
      </c>
      <c r="AL122" s="89">
        <f t="shared" si="9"/>
        <v>4.6208752464174399E-2</v>
      </c>
      <c r="AM122" s="90"/>
      <c r="AN122" s="90"/>
      <c r="AO122" s="90"/>
      <c r="AP122" s="90"/>
      <c r="AQ122" s="91"/>
      <c r="AR122" s="91"/>
      <c r="AS122" s="91"/>
      <c r="AT122" s="91"/>
      <c r="AU122" s="91"/>
      <c r="AV122" s="91"/>
      <c r="AW122" s="91"/>
      <c r="AX122" s="91"/>
      <c r="AY122" s="91"/>
      <c r="AZ122" s="91"/>
      <c r="BA122" s="91"/>
      <c r="BB122" s="87"/>
      <c r="BC122" s="87"/>
      <c r="BD122" s="87"/>
      <c r="BE122" s="87"/>
      <c r="BF122" s="87"/>
      <c r="BG122" s="87"/>
      <c r="BH122" s="87"/>
      <c r="BI122" s="87"/>
      <c r="BJ122" s="92">
        <f>IFERROR(VLOOKUP(AP122,'Scoring and Weighting'!$B$10:$C$12,2,FALSE),'Scoring and Weighting'!$C$13)</f>
        <v>70</v>
      </c>
      <c r="BK122" s="92">
        <f>VLOOKUP(AL122,'Scoring and Weighting'!$C$19:$F$23,4)</f>
        <v>50</v>
      </c>
      <c r="BL122" s="93">
        <f t="shared" si="10"/>
        <v>40</v>
      </c>
      <c r="BM122" s="92" t="e">
        <f>VLOOKUP('Table with Jurisdictions'!AJ122,'Scoring and Weighting'!$C$35:$F$39,4,1)</f>
        <v>#REF!</v>
      </c>
      <c r="BN122" s="92">
        <f t="shared" si="11"/>
        <v>20</v>
      </c>
      <c r="BO122" s="94">
        <f>IFERROR(VLOOKUP(AM122,'Scoring and Weighting'!$B$63:$C$65,2,FALSE),1)</f>
        <v>1</v>
      </c>
      <c r="BP122" s="95">
        <f>BJ122*'Scoring and Weighting'!$C$55*'Table with Jurisdictions'!BO122</f>
        <v>17.5</v>
      </c>
      <c r="BQ122" s="95">
        <f>BK122*BO122*'Scoring and Weighting'!$C$56</f>
        <v>12.5</v>
      </c>
      <c r="BR122" s="95">
        <f>BO122*BL122*'Scoring and Weighting'!$C$57</f>
        <v>10</v>
      </c>
      <c r="BS122" s="95" t="e">
        <f>BO122*BM122*'Scoring and Weighting'!$C$58</f>
        <v>#REF!</v>
      </c>
      <c r="BT122" s="95">
        <f>BO122*BN122*'Scoring and Weighting'!$C$59</f>
        <v>3</v>
      </c>
      <c r="BU122" s="96" t="e">
        <f t="shared" si="14"/>
        <v>#REF!</v>
      </c>
      <c r="BX122" s="80">
        <f t="shared" si="16"/>
        <v>11</v>
      </c>
    </row>
    <row r="123" spans="1:76" s="100" customFormat="1" x14ac:dyDescent="0.25">
      <c r="A123" s="97"/>
      <c r="B123" s="97"/>
      <c r="C123" s="98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9"/>
      <c r="P123" s="99"/>
      <c r="Q123" s="99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H123" s="101"/>
      <c r="AI123" s="101"/>
      <c r="AJ123" s="102"/>
      <c r="AK123" s="103"/>
      <c r="AL123" s="103"/>
      <c r="AM123" s="104"/>
      <c r="AN123" s="104"/>
      <c r="AO123" s="104"/>
      <c r="AP123" s="104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1"/>
      <c r="BC123" s="101"/>
      <c r="BD123" s="101"/>
      <c r="BE123" s="101"/>
      <c r="BF123" s="101"/>
      <c r="BG123" s="101"/>
      <c r="BH123" s="101"/>
      <c r="BI123" s="101"/>
      <c r="BJ123" s="106"/>
      <c r="BK123" s="106"/>
      <c r="BL123" s="107"/>
      <c r="BM123" s="106"/>
      <c r="BN123" s="106"/>
      <c r="BO123" s="108"/>
      <c r="BP123" s="109"/>
      <c r="BQ123" s="109"/>
      <c r="BR123" s="109"/>
      <c r="BS123" s="109"/>
      <c r="BT123" s="109"/>
      <c r="BU123" s="110"/>
      <c r="BX123" s="111"/>
    </row>
    <row r="124" spans="1:76" s="100" customFormat="1" x14ac:dyDescent="0.25">
      <c r="A124" s="97"/>
      <c r="B124" s="97"/>
      <c r="C124" s="98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9"/>
      <c r="P124" s="99"/>
      <c r="Q124" s="99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H124" s="101"/>
      <c r="AI124" s="101"/>
      <c r="AJ124" s="102"/>
      <c r="AK124" s="103"/>
      <c r="AL124" s="103"/>
      <c r="AM124" s="104"/>
      <c r="AN124" s="104"/>
      <c r="AO124" s="104"/>
      <c r="AP124" s="104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1"/>
      <c r="BC124" s="101"/>
      <c r="BD124" s="101"/>
      <c r="BE124" s="101"/>
      <c r="BF124" s="101"/>
      <c r="BG124" s="101"/>
      <c r="BH124" s="101"/>
      <c r="BI124" s="101"/>
      <c r="BJ124" s="106"/>
      <c r="BK124" s="106"/>
      <c r="BL124" s="107"/>
      <c r="BM124" s="106"/>
      <c r="BN124" s="106"/>
      <c r="BO124" s="108"/>
      <c r="BP124" s="109"/>
      <c r="BQ124" s="109"/>
      <c r="BR124" s="109"/>
      <c r="BS124" s="109"/>
      <c r="BT124" s="109"/>
      <c r="BU124" s="110"/>
      <c r="BX124" s="111"/>
    </row>
    <row r="125" spans="1:76" s="100" customFormat="1" x14ac:dyDescent="0.25">
      <c r="A125" s="97"/>
      <c r="B125" s="97"/>
      <c r="C125" s="98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9"/>
      <c r="P125" s="99"/>
      <c r="Q125" s="99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H125" s="101"/>
      <c r="AI125" s="101"/>
      <c r="AJ125" s="102"/>
      <c r="AK125" s="103"/>
      <c r="AL125" s="103"/>
      <c r="AM125" s="104"/>
      <c r="AN125" s="104"/>
      <c r="AO125" s="104"/>
      <c r="AP125" s="104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1"/>
      <c r="BC125" s="101"/>
      <c r="BD125" s="101"/>
      <c r="BE125" s="101"/>
      <c r="BF125" s="101"/>
      <c r="BG125" s="101"/>
      <c r="BH125" s="101"/>
      <c r="BI125" s="101"/>
      <c r="BJ125" s="106"/>
      <c r="BK125" s="106"/>
      <c r="BL125" s="107"/>
      <c r="BM125" s="106"/>
      <c r="BN125" s="106"/>
      <c r="BO125" s="108"/>
      <c r="BP125" s="109"/>
      <c r="BQ125" s="109"/>
      <c r="BR125" s="109"/>
      <c r="BS125" s="109"/>
      <c r="BT125" s="109"/>
      <c r="BU125" s="110"/>
      <c r="BX125" s="111"/>
    </row>
    <row r="126" spans="1:76" s="100" customFormat="1" x14ac:dyDescent="0.25">
      <c r="A126" s="97"/>
      <c r="B126" s="97"/>
      <c r="C126" s="98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9"/>
      <c r="P126" s="99"/>
      <c r="Q126" s="99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H126" s="101"/>
      <c r="AI126" s="101"/>
      <c r="AJ126" s="102"/>
      <c r="AK126" s="103"/>
      <c r="AL126" s="103"/>
      <c r="AM126" s="104"/>
      <c r="AN126" s="104"/>
      <c r="AO126" s="104"/>
      <c r="AP126" s="104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1"/>
      <c r="BC126" s="101"/>
      <c r="BD126" s="101"/>
      <c r="BE126" s="101"/>
      <c r="BF126" s="101"/>
      <c r="BG126" s="101"/>
      <c r="BH126" s="101"/>
      <c r="BI126" s="101"/>
      <c r="BJ126" s="106"/>
      <c r="BK126" s="106"/>
      <c r="BL126" s="107"/>
      <c r="BM126" s="106"/>
      <c r="BN126" s="106"/>
      <c r="BO126" s="108"/>
      <c r="BP126" s="109"/>
      <c r="BQ126" s="109"/>
      <c r="BR126" s="109"/>
      <c r="BS126" s="109"/>
      <c r="BT126" s="109"/>
      <c r="BU126" s="110"/>
      <c r="BX126" s="111"/>
    </row>
    <row r="127" spans="1:76" s="100" customFormat="1" x14ac:dyDescent="0.25">
      <c r="A127" s="97"/>
      <c r="B127" s="97"/>
      <c r="C127" s="98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P127" s="99"/>
      <c r="Q127" s="99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H127" s="101"/>
      <c r="AI127" s="101"/>
      <c r="AJ127" s="102"/>
      <c r="AK127" s="104"/>
      <c r="AL127" s="103"/>
      <c r="AM127" s="104"/>
      <c r="AN127" s="104"/>
      <c r="AO127" s="104"/>
      <c r="AP127" s="104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1"/>
      <c r="BC127" s="101"/>
      <c r="BD127" s="101"/>
      <c r="BE127" s="101"/>
      <c r="BF127" s="101"/>
      <c r="BG127" s="101"/>
      <c r="BH127" s="101"/>
      <c r="BI127" s="101"/>
      <c r="BJ127" s="106"/>
      <c r="BK127" s="106"/>
      <c r="BL127" s="107"/>
      <c r="BM127" s="106"/>
      <c r="BN127" s="106"/>
      <c r="BO127" s="108"/>
      <c r="BP127" s="109"/>
      <c r="BQ127" s="109"/>
      <c r="BR127" s="109"/>
      <c r="BS127" s="109"/>
      <c r="BT127" s="109"/>
      <c r="BU127" s="110"/>
      <c r="BX127" s="111"/>
    </row>
    <row r="128" spans="1:76" s="100" customFormat="1" x14ac:dyDescent="0.25">
      <c r="A128" s="97"/>
      <c r="B128" s="97"/>
      <c r="C128" s="98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P128" s="99"/>
      <c r="Q128" s="99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H128" s="101"/>
      <c r="AI128" s="101"/>
      <c r="AJ128" s="102"/>
      <c r="AK128" s="103"/>
      <c r="AL128" s="103"/>
      <c r="AM128" s="104"/>
      <c r="AN128" s="104"/>
      <c r="AO128" s="104"/>
      <c r="AP128" s="104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1"/>
      <c r="BC128" s="101"/>
      <c r="BD128" s="101"/>
      <c r="BE128" s="101"/>
      <c r="BF128" s="101"/>
      <c r="BG128" s="101"/>
      <c r="BH128" s="101"/>
      <c r="BI128" s="101"/>
      <c r="BJ128" s="106"/>
      <c r="BK128" s="106"/>
      <c r="BL128" s="107"/>
      <c r="BM128" s="106"/>
      <c r="BN128" s="106"/>
      <c r="BO128" s="108"/>
      <c r="BP128" s="109"/>
      <c r="BQ128" s="109"/>
      <c r="BR128" s="109"/>
      <c r="BS128" s="109"/>
      <c r="BT128" s="109"/>
      <c r="BU128" s="110"/>
      <c r="BX128" s="111"/>
    </row>
    <row r="129" spans="1:76" s="100" customFormat="1" x14ac:dyDescent="0.25">
      <c r="A129" s="97"/>
      <c r="B129" s="97"/>
      <c r="C129" s="98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P129" s="99"/>
      <c r="Q129" s="99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H129" s="101"/>
      <c r="AI129" s="101"/>
      <c r="AJ129" s="102"/>
      <c r="AK129" s="103"/>
      <c r="AL129" s="103"/>
      <c r="AM129" s="104"/>
      <c r="AN129" s="104"/>
      <c r="AO129" s="104"/>
      <c r="AP129" s="104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1"/>
      <c r="BC129" s="101"/>
      <c r="BD129" s="101"/>
      <c r="BE129" s="101"/>
      <c r="BF129" s="101"/>
      <c r="BG129" s="101"/>
      <c r="BH129" s="101"/>
      <c r="BI129" s="101"/>
      <c r="BJ129" s="106"/>
      <c r="BK129" s="106"/>
      <c r="BL129" s="107"/>
      <c r="BM129" s="106"/>
      <c r="BN129" s="106"/>
      <c r="BO129" s="108"/>
      <c r="BP129" s="109"/>
      <c r="BQ129" s="109"/>
      <c r="BR129" s="109"/>
      <c r="BS129" s="109"/>
      <c r="BT129" s="109"/>
      <c r="BU129" s="110"/>
      <c r="BX129" s="111"/>
    </row>
    <row r="130" spans="1:76" s="100" customFormat="1" x14ac:dyDescent="0.25">
      <c r="Q130" s="97"/>
      <c r="AJ130" s="112"/>
      <c r="AK130" s="113"/>
      <c r="AL130" s="113"/>
      <c r="AM130" s="113"/>
      <c r="AN130" s="113"/>
      <c r="AO130" s="113"/>
      <c r="AP130" s="113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J130" s="115"/>
      <c r="BK130" s="115"/>
      <c r="BL130" s="115"/>
      <c r="BM130" s="115"/>
      <c r="BN130" s="115"/>
      <c r="BO130" s="115"/>
      <c r="BP130" s="116"/>
      <c r="BQ130" s="116"/>
      <c r="BR130" s="116"/>
      <c r="BS130" s="116"/>
      <c r="BT130" s="116"/>
      <c r="BU130" s="117"/>
    </row>
    <row r="131" spans="1:76" s="100" customFormat="1" x14ac:dyDescent="0.25">
      <c r="Q131" s="97"/>
      <c r="AJ131" s="112"/>
      <c r="AK131" s="113"/>
      <c r="AL131" s="113"/>
      <c r="AM131" s="113"/>
      <c r="AN131" s="113"/>
      <c r="AO131" s="113"/>
      <c r="AP131" s="113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J131" s="115"/>
      <c r="BK131" s="115"/>
      <c r="BL131" s="115"/>
      <c r="BM131" s="115"/>
      <c r="BN131" s="115"/>
      <c r="BO131" s="115"/>
      <c r="BP131" s="116"/>
      <c r="BQ131" s="116"/>
      <c r="BR131" s="116"/>
      <c r="BS131" s="116"/>
      <c r="BT131" s="116"/>
      <c r="BU131" s="117"/>
    </row>
  </sheetData>
  <mergeCells count="6">
    <mergeCell ref="A2:K2"/>
    <mergeCell ref="AK2:AP2"/>
    <mergeCell ref="AQ2:BA2"/>
    <mergeCell ref="BJ2:BO2"/>
    <mergeCell ref="BP2:BU2"/>
    <mergeCell ref="R2:AC2"/>
  </mergeCells>
  <printOptions horizontalCentered="1"/>
  <pageMargins left="0.7" right="0.7" top="0.75" bottom="0.75" header="0.3" footer="0.3"/>
  <pageSetup paperSize="3" scale="52" orientation="landscape" horizontalDpi="1200" verticalDpi="1200" r:id="rId1"/>
  <colBreaks count="1" manualBreakCount="1">
    <brk id="7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BV121"/>
  <sheetViews>
    <sheetView view="pageBreakPreview" zoomScaleNormal="40" zoomScaleSheetLayoutView="100" workbookViewId="0">
      <selection activeCell="AM5" sqref="AM5"/>
    </sheetView>
  </sheetViews>
  <sheetFormatPr defaultRowHeight="15" x14ac:dyDescent="0.25"/>
  <cols>
    <col min="1" max="1" width="19.140625" customWidth="1"/>
    <col min="2" max="2" width="12.28515625" hidden="1" customWidth="1"/>
    <col min="3" max="9" width="0" hidden="1" customWidth="1"/>
    <col min="10" max="10" width="25.28515625" customWidth="1"/>
    <col min="11" max="12" width="0" hidden="1" customWidth="1"/>
    <col min="13" max="13" width="17.42578125" customWidth="1"/>
    <col min="14" max="14" width="15" hidden="1" customWidth="1"/>
    <col min="15" max="15" width="1.140625" hidden="1" customWidth="1"/>
    <col min="16" max="16" width="18.85546875" customWidth="1"/>
    <col min="17" max="17" width="16" customWidth="1"/>
    <col min="18" max="31" width="9.140625" hidden="1" customWidth="1"/>
    <col min="32" max="36" width="11.7109375" hidden="1" customWidth="1"/>
    <col min="37" max="37" width="18.85546875" style="18" hidden="1" customWidth="1"/>
    <col min="38" max="38" width="16.7109375" style="28" customWidth="1"/>
    <col min="39" max="39" width="17.85546875" style="28" customWidth="1"/>
    <col min="40" max="43" width="21.85546875" style="28" customWidth="1"/>
    <col min="44" max="44" width="13.85546875" style="27" hidden="1" customWidth="1"/>
    <col min="45" max="45" width="2.5703125" style="27" hidden="1" customWidth="1"/>
    <col min="46" max="46" width="16.42578125" style="27" customWidth="1"/>
    <col min="47" max="49" width="13.85546875" style="27" hidden="1" customWidth="1"/>
    <col min="50" max="50" width="14.85546875" style="27" customWidth="1"/>
    <col min="51" max="51" width="13.85546875" style="27" customWidth="1"/>
    <col min="52" max="52" width="13.85546875" style="27" hidden="1" customWidth="1"/>
    <col min="53" max="53" width="13.85546875" style="27" customWidth="1"/>
    <col min="54" max="54" width="15" style="27" customWidth="1"/>
    <col min="55" max="62" width="13.85546875" hidden="1" customWidth="1"/>
    <col min="63" max="67" width="15.7109375" style="14" customWidth="1"/>
    <col min="68" max="68" width="17" style="14" customWidth="1"/>
    <col min="69" max="73" width="15.7109375" style="22" customWidth="1"/>
    <col min="74" max="74" width="15.140625" style="25" customWidth="1"/>
  </cols>
  <sheetData>
    <row r="1" spans="1:74" s="32" customFormat="1" ht="21" x14ac:dyDescent="0.35">
      <c r="A1" s="134" t="s">
        <v>361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  <c r="N1" s="51"/>
      <c r="O1" s="51"/>
      <c r="P1" s="134" t="s">
        <v>359</v>
      </c>
      <c r="Q1" s="136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137" t="s">
        <v>358</v>
      </c>
      <c r="AM1" s="137"/>
      <c r="AN1" s="137"/>
      <c r="AO1" s="137"/>
      <c r="AP1" s="137"/>
      <c r="AQ1" s="137"/>
      <c r="AR1" s="138" t="s">
        <v>357</v>
      </c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31"/>
      <c r="BD1" s="31"/>
      <c r="BE1" s="31"/>
      <c r="BF1" s="31"/>
      <c r="BG1" s="31"/>
      <c r="BH1" s="31"/>
      <c r="BI1" s="31"/>
      <c r="BJ1" s="31"/>
      <c r="BK1" s="139" t="s">
        <v>355</v>
      </c>
      <c r="BL1" s="139"/>
      <c r="BM1" s="139"/>
      <c r="BN1" s="139"/>
      <c r="BO1" s="139"/>
      <c r="BP1" s="139"/>
      <c r="BQ1" s="140" t="s">
        <v>356</v>
      </c>
      <c r="BR1" s="140"/>
      <c r="BS1" s="140"/>
      <c r="BT1" s="140"/>
      <c r="BU1" s="140"/>
      <c r="BV1" s="140"/>
    </row>
    <row r="2" spans="1:74" ht="150" x14ac:dyDescent="0.25">
      <c r="A2" s="52" t="s">
        <v>341</v>
      </c>
      <c r="B2" s="52" t="s">
        <v>1</v>
      </c>
      <c r="C2" s="52" t="s">
        <v>336</v>
      </c>
      <c r="D2" s="52" t="s">
        <v>338</v>
      </c>
      <c r="E2" s="52" t="s">
        <v>337</v>
      </c>
      <c r="F2" s="52" t="s">
        <v>5</v>
      </c>
      <c r="G2" s="52" t="s">
        <v>6</v>
      </c>
      <c r="H2" s="52" t="s">
        <v>7</v>
      </c>
      <c r="I2" s="52" t="s">
        <v>8</v>
      </c>
      <c r="J2" s="52" t="s">
        <v>519</v>
      </c>
      <c r="K2" s="52" t="s">
        <v>10</v>
      </c>
      <c r="L2" s="52"/>
      <c r="M2" s="52" t="s">
        <v>11</v>
      </c>
      <c r="N2" s="52" t="s">
        <v>12</v>
      </c>
      <c r="O2" s="52" t="s">
        <v>13</v>
      </c>
      <c r="P2" s="52" t="s">
        <v>339</v>
      </c>
      <c r="Q2" s="52" t="s">
        <v>360</v>
      </c>
      <c r="R2" s="52" t="s">
        <v>16</v>
      </c>
      <c r="S2" s="52" t="s">
        <v>17</v>
      </c>
      <c r="T2" s="52" t="s">
        <v>18</v>
      </c>
      <c r="U2" s="52" t="s">
        <v>19</v>
      </c>
      <c r="V2" s="52" t="s">
        <v>20</v>
      </c>
      <c r="W2" s="52" t="s">
        <v>21</v>
      </c>
      <c r="X2" s="52" t="s">
        <v>22</v>
      </c>
      <c r="Y2" s="52" t="s">
        <v>23</v>
      </c>
      <c r="Z2" s="52" t="s">
        <v>24</v>
      </c>
      <c r="AA2" s="52" t="s">
        <v>25</v>
      </c>
      <c r="AB2" s="52" t="s">
        <v>26</v>
      </c>
      <c r="AC2" s="52" t="s">
        <v>27</v>
      </c>
      <c r="AD2" s="52" t="s">
        <v>522</v>
      </c>
      <c r="AE2" s="52" t="s">
        <v>276</v>
      </c>
      <c r="AF2" s="52" t="s">
        <v>277</v>
      </c>
      <c r="AG2" s="52" t="s">
        <v>278</v>
      </c>
      <c r="AH2" s="52" t="s">
        <v>279</v>
      </c>
      <c r="AI2" s="52" t="s">
        <v>280</v>
      </c>
      <c r="AJ2" s="52" t="s">
        <v>281</v>
      </c>
      <c r="AK2" s="36" t="s">
        <v>349</v>
      </c>
      <c r="AL2" s="37" t="s">
        <v>342</v>
      </c>
      <c r="AM2" s="37" t="s">
        <v>354</v>
      </c>
      <c r="AN2" s="37" t="s">
        <v>343</v>
      </c>
      <c r="AO2" s="37" t="s">
        <v>344</v>
      </c>
      <c r="AP2" s="37" t="s">
        <v>345</v>
      </c>
      <c r="AQ2" s="37" t="s">
        <v>346</v>
      </c>
      <c r="AR2" s="55" t="s">
        <v>348</v>
      </c>
      <c r="AS2" s="55" t="s">
        <v>30</v>
      </c>
      <c r="AT2" s="55" t="s">
        <v>347</v>
      </c>
      <c r="AU2" s="55" t="s">
        <v>32</v>
      </c>
      <c r="AV2" s="55" t="s">
        <v>33</v>
      </c>
      <c r="AW2" s="55" t="s">
        <v>34</v>
      </c>
      <c r="AX2" s="55" t="s">
        <v>351</v>
      </c>
      <c r="AY2" s="55" t="s">
        <v>350</v>
      </c>
      <c r="AZ2" s="55" t="s">
        <v>37</v>
      </c>
      <c r="BA2" s="55" t="s">
        <v>352</v>
      </c>
      <c r="BB2" s="55" t="s">
        <v>353</v>
      </c>
      <c r="BC2" s="52" t="s">
        <v>40</v>
      </c>
      <c r="BD2" s="52" t="s">
        <v>41</v>
      </c>
      <c r="BE2" s="52" t="s">
        <v>42</v>
      </c>
      <c r="BF2" s="52" t="s">
        <v>43</v>
      </c>
      <c r="BG2" s="52" t="s">
        <v>44</v>
      </c>
      <c r="BH2" s="52" t="s">
        <v>45</v>
      </c>
      <c r="BI2" s="52" t="s">
        <v>46</v>
      </c>
      <c r="BJ2" s="52" t="s">
        <v>47</v>
      </c>
      <c r="BK2" s="38" t="s">
        <v>329</v>
      </c>
      <c r="BL2" s="38" t="s">
        <v>310</v>
      </c>
      <c r="BM2" s="38" t="s">
        <v>311</v>
      </c>
      <c r="BN2" s="38" t="s">
        <v>312</v>
      </c>
      <c r="BO2" s="38" t="s">
        <v>333</v>
      </c>
      <c r="BP2" s="38" t="s">
        <v>309</v>
      </c>
      <c r="BQ2" s="39" t="s">
        <v>328</v>
      </c>
      <c r="BR2" s="39" t="s">
        <v>330</v>
      </c>
      <c r="BS2" s="39" t="s">
        <v>331</v>
      </c>
      <c r="BT2" s="39" t="s">
        <v>332</v>
      </c>
      <c r="BU2" s="39" t="s">
        <v>334</v>
      </c>
      <c r="BV2" s="40" t="s">
        <v>319</v>
      </c>
    </row>
    <row r="3" spans="1:74" x14ac:dyDescent="0.25">
      <c r="A3" s="41" t="s">
        <v>195</v>
      </c>
      <c r="B3" s="41"/>
      <c r="C3" s="41">
        <v>66</v>
      </c>
      <c r="D3" s="41"/>
      <c r="E3" s="41"/>
      <c r="F3" s="41">
        <v>9007</v>
      </c>
      <c r="G3" s="41" t="s">
        <v>49</v>
      </c>
      <c r="H3" s="41">
        <v>1</v>
      </c>
      <c r="I3" s="41">
        <v>0</v>
      </c>
      <c r="J3" s="41" t="str">
        <f>VLOOKUP(A3,'Table with Jurisdictions'!$A$4:$Q$129,17,0)</f>
        <v>Laguna Niguel</v>
      </c>
      <c r="K3" s="41" t="s">
        <v>50</v>
      </c>
      <c r="L3" s="41"/>
      <c r="M3" s="41" t="s">
        <v>84</v>
      </c>
      <c r="N3" s="41">
        <v>12832.363038887301</v>
      </c>
      <c r="O3" s="41">
        <v>6342864.1189773902</v>
      </c>
      <c r="P3" s="42">
        <v>63.7580864499445</v>
      </c>
      <c r="Q3" s="41">
        <v>44</v>
      </c>
      <c r="R3" s="41">
        <v>44</v>
      </c>
      <c r="S3" s="41">
        <v>0</v>
      </c>
      <c r="T3" s="41">
        <v>0</v>
      </c>
      <c r="U3" s="41">
        <v>0</v>
      </c>
      <c r="V3" s="41">
        <v>0</v>
      </c>
      <c r="W3" s="41">
        <v>100</v>
      </c>
      <c r="X3" s="41">
        <v>0</v>
      </c>
      <c r="Y3" s="41">
        <v>0</v>
      </c>
      <c r="Z3" s="41">
        <v>0</v>
      </c>
      <c r="AA3" s="41">
        <v>0</v>
      </c>
      <c r="AB3" s="41">
        <v>0</v>
      </c>
      <c r="AC3" s="41">
        <v>0</v>
      </c>
      <c r="AD3" s="41">
        <v>0</v>
      </c>
      <c r="AE3" s="41">
        <v>1</v>
      </c>
      <c r="AF3" s="41">
        <v>0.5</v>
      </c>
      <c r="AG3" s="41">
        <v>0.01</v>
      </c>
      <c r="AH3" s="41">
        <v>0.133333333333333</v>
      </c>
      <c r="AI3" s="41">
        <v>5.6666666666699999E-4</v>
      </c>
      <c r="AJ3" s="41">
        <v>5.6666666666699999E-4</v>
      </c>
      <c r="AK3" s="53">
        <f t="shared" ref="AK3:AK34" si="0">P3*Q3/100</f>
        <v>28.053558037975581</v>
      </c>
      <c r="AL3" s="43">
        <v>5.6666666666699999E-4</v>
      </c>
      <c r="AM3" s="43">
        <f>IF(ISBLANK(AT3),AL3*'ratio of flow'!$D$1,AT3)</f>
        <v>0</v>
      </c>
      <c r="AN3" s="44"/>
      <c r="AO3" s="44"/>
      <c r="AP3" s="44"/>
      <c r="AQ3" s="44"/>
      <c r="AR3" s="45" t="s">
        <v>55</v>
      </c>
      <c r="AS3" s="45">
        <v>6.9006286013619994E-2</v>
      </c>
      <c r="AT3" s="45">
        <v>0</v>
      </c>
      <c r="AU3" s="45">
        <v>4.3565393637130002E-2</v>
      </c>
      <c r="AV3" s="45">
        <v>0</v>
      </c>
      <c r="AW3" s="45">
        <v>0.45800000000000002</v>
      </c>
      <c r="AX3" s="45">
        <v>0</v>
      </c>
      <c r="AY3" s="45">
        <v>2E-3</v>
      </c>
      <c r="AZ3" s="45">
        <v>4.3999999999999997E-2</v>
      </c>
      <c r="BA3" s="54"/>
      <c r="BB3" s="54"/>
      <c r="BC3" s="41">
        <v>6.8313203300825007E-2</v>
      </c>
      <c r="BD3" s="41">
        <v>0.30499999999999999</v>
      </c>
      <c r="BE3" s="41">
        <v>6.5000000000000002E-2</v>
      </c>
      <c r="BF3" s="41">
        <v>0</v>
      </c>
      <c r="BG3" s="41">
        <v>7.0610243055554994E-2</v>
      </c>
      <c r="BH3" s="41">
        <v>0.45800000000000002</v>
      </c>
      <c r="BI3" s="41">
        <v>6.7000000000000004E-2</v>
      </c>
      <c r="BJ3" s="41">
        <v>1.2E-2</v>
      </c>
      <c r="BK3" s="46">
        <f>IFERROR(VLOOKUP(AQ3,'Scoring and Weighting'!$B$10:$C$12,2,FALSE),'Scoring and Weighting'!$C$13)</f>
        <v>70</v>
      </c>
      <c r="BL3" s="46">
        <f>VLOOKUP(AM3,'Scoring and Weighting'!$C$19:$F$23,4)</f>
        <v>30</v>
      </c>
      <c r="BM3" s="47">
        <f t="shared" ref="BM3" si="1">IF(ISBLANK(BB3),40,BB3*100)</f>
        <v>40</v>
      </c>
      <c r="BN3" s="46">
        <f>IFERROR(VLOOKUP('Summary Table for Print'!AK3,'Scoring and Weighting'!$C$35:$F$39,4,1),30)</f>
        <v>30</v>
      </c>
      <c r="BO3" s="46">
        <f t="shared" ref="BO3:BO34" si="2">IF(AND(AE3&gt;1,AT3&gt;0,ISTEXT(AN3)),100,IF(AND(AT3&gt;0,ISTEXT(AN3)),80,IF(AND(AE3&gt;1,ISTEXT(AN3)),60,IF(AE3&gt;1,40,20))))</f>
        <v>20</v>
      </c>
      <c r="BP3" s="47">
        <f>IFERROR(VLOOKUP(AN3,'Scoring and Weighting'!$B$63:$C$65,2,FALSE),1)</f>
        <v>1</v>
      </c>
      <c r="BQ3" s="49">
        <f>BK3*'Scoring and Weighting'!$C$55*'Summary Table for Print'!BP3</f>
        <v>17.5</v>
      </c>
      <c r="BR3" s="49">
        <f>BL3*BP3*'Scoring and Weighting'!$C$56</f>
        <v>7.5</v>
      </c>
      <c r="BS3" s="49">
        <f>BP3*BM3*'Scoring and Weighting'!$C$57</f>
        <v>10</v>
      </c>
      <c r="BT3" s="49">
        <f>BP3*BN3*'Scoring and Weighting'!$C$58</f>
        <v>3</v>
      </c>
      <c r="BU3" s="49">
        <f>BP3*BO3*'Scoring and Weighting'!$C$59</f>
        <v>3</v>
      </c>
      <c r="BV3" s="50">
        <f>SUM(BQ3:BU3)</f>
        <v>41</v>
      </c>
    </row>
    <row r="4" spans="1:74" x14ac:dyDescent="0.25">
      <c r="A4" s="41" t="s">
        <v>264</v>
      </c>
      <c r="B4" s="41"/>
      <c r="C4" s="41">
        <v>72</v>
      </c>
      <c r="D4" s="41"/>
      <c r="E4" s="41"/>
      <c r="F4" s="41">
        <v>9221</v>
      </c>
      <c r="G4" s="41" t="s">
        <v>57</v>
      </c>
      <c r="H4" s="41">
        <v>1</v>
      </c>
      <c r="I4" s="41">
        <v>0</v>
      </c>
      <c r="J4" s="41" t="str">
        <f>VLOOKUP(A4,'Table with Jurisdictions'!$A$4:$Q$129,17,0)</f>
        <v>Rancho Santa Margarita</v>
      </c>
      <c r="K4" s="41" t="s">
        <v>50</v>
      </c>
      <c r="L4" s="41"/>
      <c r="M4" s="41" t="s">
        <v>64</v>
      </c>
      <c r="N4" s="41">
        <v>25366.269179262999</v>
      </c>
      <c r="O4" s="41">
        <v>24642223.504762001</v>
      </c>
      <c r="P4" s="42">
        <v>926.34500026169906</v>
      </c>
      <c r="Q4" s="41">
        <v>84</v>
      </c>
      <c r="R4" s="41">
        <v>63</v>
      </c>
      <c r="S4" s="41">
        <v>0</v>
      </c>
      <c r="T4" s="41">
        <v>0</v>
      </c>
      <c r="U4" s="41">
        <v>0</v>
      </c>
      <c r="V4" s="41">
        <v>0</v>
      </c>
      <c r="W4" s="41">
        <v>0</v>
      </c>
      <c r="X4" s="41">
        <v>0</v>
      </c>
      <c r="Y4" s="41">
        <v>0</v>
      </c>
      <c r="Z4" s="41">
        <v>0</v>
      </c>
      <c r="AA4" s="41">
        <v>1</v>
      </c>
      <c r="AB4" s="41">
        <v>99</v>
      </c>
      <c r="AC4" s="41">
        <v>0</v>
      </c>
      <c r="AD4" s="41">
        <v>0</v>
      </c>
      <c r="AE4" s="41">
        <v>1</v>
      </c>
      <c r="AF4" s="41">
        <v>0.45</v>
      </c>
      <c r="AG4" s="41">
        <v>0.01</v>
      </c>
      <c r="AH4" s="41">
        <v>1.2</v>
      </c>
      <c r="AI4" s="41">
        <v>4.5900000000000003E-3</v>
      </c>
      <c r="AJ4" s="41">
        <v>4.5900000000000003E-3</v>
      </c>
      <c r="AK4" s="53">
        <f t="shared" si="0"/>
        <v>778.12980021982719</v>
      </c>
      <c r="AL4" s="43">
        <v>4.5900000000000003E-3</v>
      </c>
      <c r="AM4" s="43">
        <f>IF(ISBLANK(AT4),AL4*'ratio of flow'!$D$1,AT4)</f>
        <v>0</v>
      </c>
      <c r="AN4" s="44" t="s">
        <v>52</v>
      </c>
      <c r="AO4" s="44"/>
      <c r="AP4" s="44" t="s">
        <v>53</v>
      </c>
      <c r="AQ4" s="44" t="s">
        <v>69</v>
      </c>
      <c r="AR4" s="45" t="s">
        <v>59</v>
      </c>
      <c r="AS4" s="45">
        <v>0.218716962843296</v>
      </c>
      <c r="AT4" s="45">
        <v>0</v>
      </c>
      <c r="AU4" s="45">
        <v>3.5282873093041997E-2</v>
      </c>
      <c r="AV4" s="45">
        <v>0.105</v>
      </c>
      <c r="AW4" s="45">
        <v>0.621</v>
      </c>
      <c r="AX4" s="45">
        <v>0</v>
      </c>
      <c r="AY4" s="45">
        <v>0.13950000000000001</v>
      </c>
      <c r="AZ4" s="45">
        <v>0.14699999999999999</v>
      </c>
      <c r="BA4" s="54"/>
      <c r="BB4" s="54"/>
      <c r="BC4" s="41">
        <v>0.222329274004684</v>
      </c>
      <c r="BD4" s="41">
        <v>0.621</v>
      </c>
      <c r="BE4" s="41">
        <v>0.214</v>
      </c>
      <c r="BF4" s="41">
        <v>0.105</v>
      </c>
      <c r="BG4" s="41">
        <v>0.210683333333333</v>
      </c>
      <c r="BH4" s="41">
        <v>0.47</v>
      </c>
      <c r="BI4" s="41">
        <v>0.20499999999999999</v>
      </c>
      <c r="BJ4" s="41">
        <v>0.108</v>
      </c>
      <c r="BK4" s="46">
        <f>IFERROR(VLOOKUP(AQ4,'Scoring and Weighting'!$B$10:$C$12,2,FALSE),'Scoring and Weighting'!$C$13)</f>
        <v>80</v>
      </c>
      <c r="BL4" s="46">
        <f>VLOOKUP(AM4,'Scoring and Weighting'!$C$19:$F$23,4)</f>
        <v>30</v>
      </c>
      <c r="BM4" s="47">
        <f t="shared" ref="BM4:BM67" si="3">IF(ISBLANK(BB4),40,BB4*100)</f>
        <v>40</v>
      </c>
      <c r="BN4" s="46">
        <f>IFERROR(VLOOKUP('Summary Table for Print'!AK4,'Scoring and Weighting'!$C$35:$F$39,4,1),30)</f>
        <v>100</v>
      </c>
      <c r="BO4" s="46">
        <f t="shared" si="2"/>
        <v>20</v>
      </c>
      <c r="BP4" s="47">
        <f>IFERROR(VLOOKUP(AN4,'Scoring and Weighting'!$B$63:$C$65,2,FALSE),1)</f>
        <v>1</v>
      </c>
      <c r="BQ4" s="49">
        <f>BK4*'Scoring and Weighting'!$C$55*'Summary Table for Print'!BP4</f>
        <v>20</v>
      </c>
      <c r="BR4" s="49">
        <f>BL4*BP4*'Scoring and Weighting'!$C$56</f>
        <v>7.5</v>
      </c>
      <c r="BS4" s="49">
        <f>BP4*BM4*'Scoring and Weighting'!$C$57</f>
        <v>10</v>
      </c>
      <c r="BT4" s="49">
        <f>BP4*BN4*'Scoring and Weighting'!$C$58</f>
        <v>10</v>
      </c>
      <c r="BU4" s="49">
        <f>BP4*BO4*'Scoring and Weighting'!$C$59</f>
        <v>3</v>
      </c>
      <c r="BV4" s="50">
        <f t="shared" ref="BV4:BV67" si="4">SUM(BQ4:BU4)</f>
        <v>50.5</v>
      </c>
    </row>
    <row r="5" spans="1:74" x14ac:dyDescent="0.25">
      <c r="A5" s="41" t="s">
        <v>426</v>
      </c>
      <c r="B5" s="41" t="s">
        <v>61</v>
      </c>
      <c r="C5" s="41">
        <v>90</v>
      </c>
      <c r="D5" s="41"/>
      <c r="E5" s="41"/>
      <c r="F5" s="41">
        <v>166</v>
      </c>
      <c r="G5" s="41" t="s">
        <v>62</v>
      </c>
      <c r="H5" s="41">
        <v>1</v>
      </c>
      <c r="I5" s="41">
        <v>0</v>
      </c>
      <c r="J5" s="41" t="str">
        <f>VLOOKUP(A5,'Table with Jurisdictions'!$A$4:$Q$129,17,0)</f>
        <v>Laguna Woods</v>
      </c>
      <c r="K5" s="41" t="s">
        <v>50</v>
      </c>
      <c r="L5" s="41"/>
      <c r="M5" s="41" t="s">
        <v>51</v>
      </c>
      <c r="N5" s="41">
        <v>24414.986770187199</v>
      </c>
      <c r="O5" s="41">
        <v>16057343.476462699</v>
      </c>
      <c r="P5" s="42">
        <v>30.689455330825201</v>
      </c>
      <c r="Q5" s="41">
        <v>99</v>
      </c>
      <c r="R5" s="41">
        <v>98</v>
      </c>
      <c r="S5" s="41">
        <v>0</v>
      </c>
      <c r="T5" s="41">
        <v>0</v>
      </c>
      <c r="U5" s="41">
        <v>0</v>
      </c>
      <c r="V5" s="41">
        <v>5</v>
      </c>
      <c r="W5" s="41">
        <v>0</v>
      </c>
      <c r="X5" s="41">
        <v>95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0</v>
      </c>
      <c r="AE5" s="41"/>
      <c r="AF5" s="41"/>
      <c r="AG5" s="41"/>
      <c r="AH5" s="41"/>
      <c r="AI5" s="41"/>
      <c r="AJ5" s="41"/>
      <c r="AK5" s="53">
        <f t="shared" si="0"/>
        <v>30.382560777516947</v>
      </c>
      <c r="AL5" s="43"/>
      <c r="AM5" s="43">
        <f>IF(ISBLANK(AT5),AL5*'ratio of flow'!$D$1,AT5)</f>
        <v>4.0000000000000001E-3</v>
      </c>
      <c r="AN5" s="44"/>
      <c r="AO5" s="44"/>
      <c r="AP5" s="44"/>
      <c r="AQ5" s="44"/>
      <c r="AR5" s="45" t="s">
        <v>65</v>
      </c>
      <c r="AS5" s="45">
        <v>5.2055790108565002E-2</v>
      </c>
      <c r="AT5" s="45">
        <v>4.0000000000000001E-3</v>
      </c>
      <c r="AU5" s="45">
        <v>3.9492054664373E-2</v>
      </c>
      <c r="AV5" s="45">
        <v>4.0000000000000001E-3</v>
      </c>
      <c r="AW5" s="45">
        <v>0.44</v>
      </c>
      <c r="AX5" s="45">
        <v>1E-3</v>
      </c>
      <c r="AY5" s="45">
        <v>1.2999999999999999E-2</v>
      </c>
      <c r="AZ5" s="45">
        <v>6.6000000000000003E-2</v>
      </c>
      <c r="BA5" s="54">
        <v>3.25</v>
      </c>
      <c r="BB5" s="54">
        <v>0.25</v>
      </c>
      <c r="BC5" s="41">
        <v>5.1021259198692E-2</v>
      </c>
      <c r="BD5" s="41">
        <v>0.44</v>
      </c>
      <c r="BE5" s="41">
        <v>0.05</v>
      </c>
      <c r="BF5" s="41">
        <v>4.0000000000000001E-3</v>
      </c>
      <c r="BG5" s="41">
        <v>5.4964367816092E-2</v>
      </c>
      <c r="BH5" s="41">
        <v>0.4</v>
      </c>
      <c r="BI5" s="41">
        <v>5.0999999999999997E-2</v>
      </c>
      <c r="BJ5" s="41">
        <v>5.0000000000000001E-3</v>
      </c>
      <c r="BK5" s="46">
        <f>IFERROR(VLOOKUP(AQ5,'Scoring and Weighting'!$B$10:$C$12,2,FALSE),'Scoring and Weighting'!$C$13)</f>
        <v>70</v>
      </c>
      <c r="BL5" s="46">
        <f>VLOOKUP(AM5,'Scoring and Weighting'!$C$19:$F$23,4)</f>
        <v>30</v>
      </c>
      <c r="BM5" s="47">
        <f t="shared" si="3"/>
        <v>25</v>
      </c>
      <c r="BN5" s="46">
        <f>IFERROR(VLOOKUP('Summary Table for Print'!AK5,'Scoring and Weighting'!$C$35:$F$39,4,1),30)</f>
        <v>30</v>
      </c>
      <c r="BO5" s="46">
        <f t="shared" si="2"/>
        <v>20</v>
      </c>
      <c r="BP5" s="47">
        <f>IFERROR(VLOOKUP(AN5,'Scoring and Weighting'!$B$63:$C$65,2,FALSE),1)</f>
        <v>1</v>
      </c>
      <c r="BQ5" s="49">
        <f>BK5*'Scoring and Weighting'!$C$55*'Summary Table for Print'!BP5</f>
        <v>17.5</v>
      </c>
      <c r="BR5" s="49">
        <f>BL5*BP5*'Scoring and Weighting'!$C$56</f>
        <v>7.5</v>
      </c>
      <c r="BS5" s="49">
        <f>BP5*BM5*'Scoring and Weighting'!$C$57</f>
        <v>6.25</v>
      </c>
      <c r="BT5" s="49">
        <f>BP5*BN5*'Scoring and Weighting'!$C$58</f>
        <v>3</v>
      </c>
      <c r="BU5" s="49">
        <f>BP5*BO5*'Scoring and Weighting'!$C$59</f>
        <v>3</v>
      </c>
      <c r="BV5" s="50">
        <f t="shared" si="4"/>
        <v>37.25</v>
      </c>
    </row>
    <row r="6" spans="1:74" x14ac:dyDescent="0.25">
      <c r="A6" s="41" t="s">
        <v>249</v>
      </c>
      <c r="B6" s="41" t="s">
        <v>67</v>
      </c>
      <c r="C6" s="41">
        <v>102</v>
      </c>
      <c r="D6" s="41"/>
      <c r="E6" s="41"/>
      <c r="F6" s="41">
        <v>374</v>
      </c>
      <c r="G6" s="41" t="s">
        <v>62</v>
      </c>
      <c r="H6" s="41">
        <v>1</v>
      </c>
      <c r="I6" s="41">
        <v>0</v>
      </c>
      <c r="J6" s="41" t="str">
        <f>VLOOKUP(A6,'Table with Jurisdictions'!$A$4:$Q$129,17,0)</f>
        <v>Rancho Santa Margarita</v>
      </c>
      <c r="K6" s="41" t="s">
        <v>50</v>
      </c>
      <c r="L6" s="41"/>
      <c r="M6" s="119" t="s">
        <v>64</v>
      </c>
      <c r="N6" s="41">
        <v>26436.379007568099</v>
      </c>
      <c r="O6" s="41">
        <v>19708226.332956798</v>
      </c>
      <c r="P6" s="42">
        <v>926.34500026169906</v>
      </c>
      <c r="Q6" s="41">
        <v>84</v>
      </c>
      <c r="R6" s="41">
        <v>63</v>
      </c>
      <c r="S6" s="41">
        <v>0</v>
      </c>
      <c r="T6" s="41">
        <v>0</v>
      </c>
      <c r="U6" s="41">
        <v>0</v>
      </c>
      <c r="V6" s="41">
        <v>0</v>
      </c>
      <c r="W6" s="41">
        <v>0</v>
      </c>
      <c r="X6" s="41">
        <v>0</v>
      </c>
      <c r="Y6" s="41">
        <v>0</v>
      </c>
      <c r="Z6" s="41">
        <v>0</v>
      </c>
      <c r="AA6" s="41">
        <v>1</v>
      </c>
      <c r="AB6" s="41">
        <v>99</v>
      </c>
      <c r="AC6" s="41">
        <v>0</v>
      </c>
      <c r="AD6" s="41">
        <v>0</v>
      </c>
      <c r="AE6" s="41">
        <v>2</v>
      </c>
      <c r="AF6" s="41">
        <v>0.9</v>
      </c>
      <c r="AG6" s="41">
        <v>3.5000000000000003E-2</v>
      </c>
      <c r="AH6" s="41">
        <v>1.5</v>
      </c>
      <c r="AI6" s="41">
        <v>2.6775E-2</v>
      </c>
      <c r="AJ6" s="41">
        <v>5.6099999999999997E-2</v>
      </c>
      <c r="AK6" s="53">
        <f t="shared" si="0"/>
        <v>778.12980021982719</v>
      </c>
      <c r="AL6" s="43">
        <v>4.1437500000000002E-2</v>
      </c>
      <c r="AM6" s="43">
        <f>IF(ISBLANK(AT6),AL6*'ratio of flow'!$D$1,AT6)</f>
        <v>4.0000000000000001E-3</v>
      </c>
      <c r="AN6" s="44" t="s">
        <v>52</v>
      </c>
      <c r="AO6" s="44"/>
      <c r="AP6" s="44" t="s">
        <v>53</v>
      </c>
      <c r="AQ6" s="44" t="s">
        <v>54</v>
      </c>
      <c r="AR6" s="45" t="s">
        <v>70</v>
      </c>
      <c r="AS6" s="45">
        <v>6.7563829787234006E-2</v>
      </c>
      <c r="AT6" s="45">
        <v>4.0000000000000001E-3</v>
      </c>
      <c r="AU6" s="45">
        <v>8.2349236340734003E-2</v>
      </c>
      <c r="AV6" s="45">
        <v>0</v>
      </c>
      <c r="AW6" s="45">
        <v>0.32500000000000001</v>
      </c>
      <c r="AX6" s="45">
        <v>0</v>
      </c>
      <c r="AY6" s="45">
        <v>0.151</v>
      </c>
      <c r="AZ6" s="45">
        <v>2.5000000000000001E-2</v>
      </c>
      <c r="BA6" s="54">
        <v>37.75</v>
      </c>
      <c r="BB6" s="54">
        <v>0</v>
      </c>
      <c r="BC6" s="41">
        <v>6.7068669527897001E-2</v>
      </c>
      <c r="BD6" s="41">
        <v>0.32500000000000001</v>
      </c>
      <c r="BE6" s="41">
        <v>6.2E-2</v>
      </c>
      <c r="BF6" s="41">
        <v>0</v>
      </c>
      <c r="BG6" s="41">
        <v>6.8765624999999997E-2</v>
      </c>
      <c r="BH6" s="41">
        <v>0.24199999999999999</v>
      </c>
      <c r="BI6" s="41">
        <v>6.0999999999999999E-2</v>
      </c>
      <c r="BJ6" s="41">
        <v>6.0000000000000001E-3</v>
      </c>
      <c r="BK6" s="46">
        <f>IFERROR(VLOOKUP(AQ6,'Scoring and Weighting'!$B$10:$C$12,2,FALSE),'Scoring and Weighting'!$C$13)</f>
        <v>100</v>
      </c>
      <c r="BL6" s="46">
        <f>VLOOKUP(AM6,'Scoring and Weighting'!$C$19:$F$23,4)</f>
        <v>30</v>
      </c>
      <c r="BM6" s="47">
        <f t="shared" si="3"/>
        <v>0</v>
      </c>
      <c r="BN6" s="46">
        <f>IFERROR(VLOOKUP('Summary Table for Print'!AK6,'Scoring and Weighting'!$C$35:$F$39,4,1),30)</f>
        <v>100</v>
      </c>
      <c r="BO6" s="46">
        <f t="shared" si="2"/>
        <v>100</v>
      </c>
      <c r="BP6" s="47">
        <f>IFERROR(VLOOKUP(AN6,'Scoring and Weighting'!$B$63:$C$65,2,FALSE),1)</f>
        <v>1</v>
      </c>
      <c r="BQ6" s="49">
        <f>BK6*'Scoring and Weighting'!$C$55*'Summary Table for Print'!BP6</f>
        <v>25</v>
      </c>
      <c r="BR6" s="49">
        <f>BL6*BP6*'Scoring and Weighting'!$C$56</f>
        <v>7.5</v>
      </c>
      <c r="BS6" s="49">
        <f>BP6*BM6*'Scoring and Weighting'!$C$57</f>
        <v>0</v>
      </c>
      <c r="BT6" s="49">
        <f>BP6*BN6*'Scoring and Weighting'!$C$58</f>
        <v>10</v>
      </c>
      <c r="BU6" s="49">
        <f>BP6*BO6*'Scoring and Weighting'!$C$59</f>
        <v>15</v>
      </c>
      <c r="BV6" s="50">
        <f t="shared" si="4"/>
        <v>57.5</v>
      </c>
    </row>
    <row r="7" spans="1:74" x14ac:dyDescent="0.25">
      <c r="A7" s="41" t="s">
        <v>133</v>
      </c>
      <c r="B7" s="41" t="s">
        <v>72</v>
      </c>
      <c r="C7" s="41">
        <v>66</v>
      </c>
      <c r="D7" s="41"/>
      <c r="E7" s="41"/>
      <c r="F7" s="41">
        <v>640</v>
      </c>
      <c r="G7" s="41" t="s">
        <v>62</v>
      </c>
      <c r="H7" s="41">
        <v>1</v>
      </c>
      <c r="I7" s="41">
        <v>0</v>
      </c>
      <c r="J7" s="41" t="str">
        <f>VLOOKUP(A7,'Table with Jurisdictions'!$A$4:$Q$129,17,0)</f>
        <v>Laguna Hills</v>
      </c>
      <c r="K7" s="41" t="s">
        <v>50</v>
      </c>
      <c r="L7" s="41"/>
      <c r="M7" s="119" t="s">
        <v>64</v>
      </c>
      <c r="N7" s="41">
        <v>15443.3881386796</v>
      </c>
      <c r="O7" s="41">
        <v>9932960.3262872808</v>
      </c>
      <c r="P7" s="42">
        <v>171.70778840682701</v>
      </c>
      <c r="Q7" s="41">
        <v>71</v>
      </c>
      <c r="R7" s="41">
        <v>70</v>
      </c>
      <c r="S7" s="41">
        <v>0</v>
      </c>
      <c r="T7" s="41">
        <v>0</v>
      </c>
      <c r="U7" s="41">
        <v>0</v>
      </c>
      <c r="V7" s="41">
        <v>99</v>
      </c>
      <c r="W7" s="41">
        <v>1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0</v>
      </c>
      <c r="AE7" s="41">
        <v>2</v>
      </c>
      <c r="AF7" s="41">
        <v>0.92500000000000004</v>
      </c>
      <c r="AG7" s="41">
        <v>0.06</v>
      </c>
      <c r="AH7" s="41">
        <v>1.75</v>
      </c>
      <c r="AI7" s="41">
        <v>3.8249999999999999E-2</v>
      </c>
      <c r="AJ7" s="41">
        <v>0.14960000000000001</v>
      </c>
      <c r="AK7" s="53">
        <f t="shared" si="0"/>
        <v>121.91252976884718</v>
      </c>
      <c r="AL7" s="43">
        <v>9.3924999999999995E-2</v>
      </c>
      <c r="AM7" s="43">
        <f>IF(ISBLANK(AT7),AL7*'ratio of flow'!$D$1,AT7)</f>
        <v>4.0000000000000001E-3</v>
      </c>
      <c r="AN7" s="44"/>
      <c r="AO7" s="44"/>
      <c r="AP7" s="44"/>
      <c r="AQ7" s="44"/>
      <c r="AR7" s="45" t="s">
        <v>73</v>
      </c>
      <c r="AS7" s="45">
        <v>2.7654409805489E-2</v>
      </c>
      <c r="AT7" s="45">
        <v>4.0000000000000001E-3</v>
      </c>
      <c r="AU7" s="45">
        <v>2.3663850000482E-2</v>
      </c>
      <c r="AV7" s="45">
        <v>7.0000000000000001E-3</v>
      </c>
      <c r="AW7" s="45">
        <v>6.7000000000000004E-2</v>
      </c>
      <c r="AX7" s="45">
        <v>0</v>
      </c>
      <c r="AY7" s="45">
        <v>0.03</v>
      </c>
      <c r="AZ7" s="45">
        <v>0.02</v>
      </c>
      <c r="BA7" s="54">
        <v>7.5</v>
      </c>
      <c r="BB7" s="54">
        <v>0</v>
      </c>
      <c r="BC7" s="41">
        <v>2.7839789394508999E-2</v>
      </c>
      <c r="BD7" s="41">
        <v>6.7000000000000004E-2</v>
      </c>
      <c r="BE7" s="41">
        <v>2.8000000000000001E-2</v>
      </c>
      <c r="BF7" s="41">
        <v>7.0000000000000001E-3</v>
      </c>
      <c r="BG7" s="41">
        <v>2.7203839122486001E-2</v>
      </c>
      <c r="BH7" s="41">
        <v>6.0999999999999999E-2</v>
      </c>
      <c r="BI7" s="41">
        <v>2.5999999999999999E-2</v>
      </c>
      <c r="BJ7" s="41">
        <v>1.0999999999999999E-2</v>
      </c>
      <c r="BK7" s="46">
        <f>IFERROR(VLOOKUP(AQ7,'Scoring and Weighting'!$B$10:$C$12,2,FALSE),'Scoring and Weighting'!$C$13)</f>
        <v>70</v>
      </c>
      <c r="BL7" s="46">
        <f>VLOOKUP(AM7,'Scoring and Weighting'!$C$19:$F$23,4)</f>
        <v>30</v>
      </c>
      <c r="BM7" s="47">
        <f t="shared" si="3"/>
        <v>0</v>
      </c>
      <c r="BN7" s="46">
        <f>IFERROR(VLOOKUP('Summary Table for Print'!AK7,'Scoring and Weighting'!$C$35:$F$39,4,1),30)</f>
        <v>30</v>
      </c>
      <c r="BO7" s="46">
        <f t="shared" si="2"/>
        <v>40</v>
      </c>
      <c r="BP7" s="47">
        <f>IFERROR(VLOOKUP(AN7,'Scoring and Weighting'!$B$63:$C$65,2,FALSE),1)</f>
        <v>1</v>
      </c>
      <c r="BQ7" s="49">
        <f>BK7*'Scoring and Weighting'!$C$55*'Summary Table for Print'!BP7</f>
        <v>17.5</v>
      </c>
      <c r="BR7" s="49">
        <f>BL7*BP7*'Scoring and Weighting'!$C$56</f>
        <v>7.5</v>
      </c>
      <c r="BS7" s="49">
        <f>BP7*BM7*'Scoring and Weighting'!$C$57</f>
        <v>0</v>
      </c>
      <c r="BT7" s="49">
        <f>BP7*BN7*'Scoring and Weighting'!$C$58</f>
        <v>3</v>
      </c>
      <c r="BU7" s="49">
        <f>BP7*BO7*'Scoring and Weighting'!$C$59</f>
        <v>6</v>
      </c>
      <c r="BV7" s="50">
        <f t="shared" si="4"/>
        <v>34</v>
      </c>
    </row>
    <row r="8" spans="1:74" x14ac:dyDescent="0.25">
      <c r="A8" s="41" t="s">
        <v>531</v>
      </c>
      <c r="B8" s="41"/>
      <c r="C8" s="41">
        <v>78</v>
      </c>
      <c r="D8" s="41"/>
      <c r="E8" s="41"/>
      <c r="F8" s="41">
        <v>9079</v>
      </c>
      <c r="G8" s="41" t="s">
        <v>75</v>
      </c>
      <c r="H8" s="41">
        <v>1</v>
      </c>
      <c r="I8" s="41">
        <v>0</v>
      </c>
      <c r="J8" s="41" t="str">
        <f>VLOOKUP(A8,'Table with Jurisdictions'!$A$4:$Q$129,17,0)</f>
        <v>San Clemente</v>
      </c>
      <c r="K8" s="41" t="s">
        <v>50</v>
      </c>
      <c r="L8" s="41"/>
      <c r="M8" s="119" t="s">
        <v>180</v>
      </c>
      <c r="N8" s="41">
        <v>24803.009680956398</v>
      </c>
      <c r="O8" s="41">
        <v>15933637.4250293</v>
      </c>
      <c r="P8" s="42">
        <v>65.887981852864797</v>
      </c>
      <c r="Q8" s="41">
        <v>9</v>
      </c>
      <c r="R8" s="41">
        <v>9</v>
      </c>
      <c r="S8" s="41">
        <v>0</v>
      </c>
      <c r="T8" s="41">
        <v>0</v>
      </c>
      <c r="U8" s="41">
        <v>0</v>
      </c>
      <c r="V8" s="41">
        <v>0</v>
      </c>
      <c r="W8" s="41">
        <v>0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C8" s="41">
        <v>100</v>
      </c>
      <c r="AD8" s="41">
        <v>0</v>
      </c>
      <c r="AE8" s="41">
        <v>1</v>
      </c>
      <c r="AF8" s="41">
        <v>0.5</v>
      </c>
      <c r="AG8" s="41">
        <v>0.04</v>
      </c>
      <c r="AH8" s="41">
        <v>2.60869565217391</v>
      </c>
      <c r="AI8" s="41">
        <v>4.4347826086956997E-2</v>
      </c>
      <c r="AJ8" s="41">
        <v>4.4347826086956997E-2</v>
      </c>
      <c r="AK8" s="53">
        <f t="shared" si="0"/>
        <v>5.929918366757831</v>
      </c>
      <c r="AL8" s="43">
        <v>4.4347826086956997E-2</v>
      </c>
      <c r="AM8" s="43">
        <f>IF(ISBLANK(AT8),AL8*'ratio of flow'!$D$1,AT8)</f>
        <v>5.0000000000000001E-3</v>
      </c>
      <c r="AN8" s="44" t="s">
        <v>52</v>
      </c>
      <c r="AO8" s="44"/>
      <c r="AP8" s="44" t="s">
        <v>53</v>
      </c>
      <c r="AQ8" s="44" t="s">
        <v>54</v>
      </c>
      <c r="AR8" s="45" t="s">
        <v>76</v>
      </c>
      <c r="AS8" s="45">
        <v>1.7901121728293001E-2</v>
      </c>
      <c r="AT8" s="45">
        <v>5.0000000000000001E-3</v>
      </c>
      <c r="AU8" s="45">
        <v>0.106201262532492</v>
      </c>
      <c r="AV8" s="45">
        <v>5.0000000000000001E-3</v>
      </c>
      <c r="AW8" s="45">
        <v>8.5999999999999993E-2</v>
      </c>
      <c r="AX8" s="45">
        <v>0</v>
      </c>
      <c r="AY8" s="45">
        <v>8.7499999999999994E-2</v>
      </c>
      <c r="AZ8" s="45">
        <v>1.0999999999999999E-2</v>
      </c>
      <c r="BA8" s="54">
        <v>17.5</v>
      </c>
      <c r="BB8" s="54">
        <v>0</v>
      </c>
      <c r="BC8" s="41">
        <v>1.9316591056383999E-2</v>
      </c>
      <c r="BD8" s="41">
        <v>8.5999999999999993E-2</v>
      </c>
      <c r="BE8" s="41">
        <v>1.7000000000000001E-2</v>
      </c>
      <c r="BF8" s="41">
        <v>6.0000000000000001E-3</v>
      </c>
      <c r="BG8" s="41">
        <v>1.5373263888889E-2</v>
      </c>
      <c r="BH8" s="41">
        <v>5.1999999999999998E-2</v>
      </c>
      <c r="BI8" s="41">
        <v>1.4E-2</v>
      </c>
      <c r="BJ8" s="41">
        <v>5.0000000000000001E-3</v>
      </c>
      <c r="BK8" s="46">
        <f>IFERROR(VLOOKUP(AQ8,'Scoring and Weighting'!$B$10:$C$12,2,FALSE),'Scoring and Weighting'!$C$13)</f>
        <v>100</v>
      </c>
      <c r="BL8" s="46">
        <f>VLOOKUP(AM8,'Scoring and Weighting'!$C$19:$F$23,4)</f>
        <v>30</v>
      </c>
      <c r="BM8" s="47">
        <f t="shared" si="3"/>
        <v>0</v>
      </c>
      <c r="BN8" s="46">
        <f>IFERROR(VLOOKUP('Summary Table for Print'!AK8,'Scoring and Weighting'!$C$35:$F$39,4,1),30)</f>
        <v>30</v>
      </c>
      <c r="BO8" s="46">
        <f t="shared" si="2"/>
        <v>80</v>
      </c>
      <c r="BP8" s="47">
        <f>IFERROR(VLOOKUP(AN8,'Scoring and Weighting'!$B$63:$C$65,2,FALSE),1)</f>
        <v>1</v>
      </c>
      <c r="BQ8" s="49">
        <f>BK8*'Scoring and Weighting'!$C$55*'Summary Table for Print'!BP8</f>
        <v>25</v>
      </c>
      <c r="BR8" s="49">
        <f>BL8*BP8*'Scoring and Weighting'!$C$56</f>
        <v>7.5</v>
      </c>
      <c r="BS8" s="49">
        <f>BP8*BM8*'Scoring and Weighting'!$C$57</f>
        <v>0</v>
      </c>
      <c r="BT8" s="49">
        <f>BP8*BN8*'Scoring and Weighting'!$C$58</f>
        <v>3</v>
      </c>
      <c r="BU8" s="49">
        <f>BP8*BO8*'Scoring and Weighting'!$C$59</f>
        <v>12</v>
      </c>
      <c r="BV8" s="50">
        <f t="shared" si="4"/>
        <v>47.5</v>
      </c>
    </row>
    <row r="9" spans="1:74" x14ac:dyDescent="0.25">
      <c r="A9" s="41" t="s">
        <v>529</v>
      </c>
      <c r="B9" s="41"/>
      <c r="C9" s="41">
        <v>96</v>
      </c>
      <c r="D9" s="41"/>
      <c r="E9" s="41"/>
      <c r="F9" s="41">
        <v>10011</v>
      </c>
      <c r="G9" s="41" t="s">
        <v>75</v>
      </c>
      <c r="H9" s="41">
        <v>1</v>
      </c>
      <c r="I9" s="41">
        <v>0</v>
      </c>
      <c r="J9" s="41" t="str">
        <f>VLOOKUP(A9,'Table with Jurisdictions'!$A$4:$Q$129,17,0)</f>
        <v>Lake Forest</v>
      </c>
      <c r="K9" s="41" t="s">
        <v>50</v>
      </c>
      <c r="L9" s="41"/>
      <c r="M9" s="119" t="s">
        <v>51</v>
      </c>
      <c r="N9" s="41">
        <v>36519.460341964303</v>
      </c>
      <c r="O9" s="41">
        <v>40767731.496038102</v>
      </c>
      <c r="P9" s="42">
        <v>46.3637791600827</v>
      </c>
      <c r="Q9" s="41">
        <v>69</v>
      </c>
      <c r="R9" s="41">
        <v>69</v>
      </c>
      <c r="S9" s="41">
        <v>0</v>
      </c>
      <c r="T9" s="41">
        <v>0</v>
      </c>
      <c r="U9" s="41">
        <v>0</v>
      </c>
      <c r="V9" s="41">
        <v>0</v>
      </c>
      <c r="W9" s="41">
        <v>0</v>
      </c>
      <c r="X9" s="41">
        <v>0</v>
      </c>
      <c r="Y9" s="41">
        <v>99</v>
      </c>
      <c r="Z9" s="41">
        <v>1</v>
      </c>
      <c r="AA9" s="41">
        <v>0</v>
      </c>
      <c r="AB9" s="41">
        <v>0</v>
      </c>
      <c r="AC9" s="41">
        <v>0</v>
      </c>
      <c r="AD9" s="41">
        <v>0</v>
      </c>
      <c r="AE9" s="41"/>
      <c r="AF9" s="41"/>
      <c r="AG9" s="41"/>
      <c r="AH9" s="41"/>
      <c r="AI9" s="41"/>
      <c r="AJ9" s="41"/>
      <c r="AK9" s="53">
        <f t="shared" si="0"/>
        <v>31.991007620457061</v>
      </c>
      <c r="AL9" s="43"/>
      <c r="AM9" s="43">
        <f>IF(ISBLANK(AT9),AL9*'ratio of flow'!$D$1,AT9)</f>
        <v>6.0000000000000001E-3</v>
      </c>
      <c r="AN9" s="44"/>
      <c r="AO9" s="44"/>
      <c r="AP9" s="44"/>
      <c r="AQ9" s="44"/>
      <c r="AR9" s="45" t="s">
        <v>76</v>
      </c>
      <c r="AS9" s="45">
        <v>0.20969082530372901</v>
      </c>
      <c r="AT9" s="45">
        <v>6.0000000000000001E-3</v>
      </c>
      <c r="AU9" s="45">
        <v>8.063420520566E-3</v>
      </c>
      <c r="AV9" s="45">
        <v>0.183</v>
      </c>
      <c r="AW9" s="45">
        <v>0.27200000000000002</v>
      </c>
      <c r="AX9" s="45">
        <v>2E-3</v>
      </c>
      <c r="AY9" s="45">
        <v>0.02</v>
      </c>
      <c r="AZ9" s="45">
        <v>0.20100000000000001</v>
      </c>
      <c r="BA9" s="54">
        <v>3.3333333330000001</v>
      </c>
      <c r="BB9" s="54">
        <v>0.33333333300000001</v>
      </c>
      <c r="BC9" s="41">
        <v>0.21064182534471401</v>
      </c>
      <c r="BD9" s="41">
        <v>0.26700000000000002</v>
      </c>
      <c r="BE9" s="41">
        <v>0.20899999999999999</v>
      </c>
      <c r="BF9" s="41">
        <v>0.185</v>
      </c>
      <c r="BG9" s="41">
        <v>0.20801446759259301</v>
      </c>
      <c r="BH9" s="41">
        <v>0.27200000000000002</v>
      </c>
      <c r="BI9" s="41">
        <v>0.20599999999999999</v>
      </c>
      <c r="BJ9" s="41">
        <v>0.183</v>
      </c>
      <c r="BK9" s="46">
        <f>IFERROR(VLOOKUP(AQ9,'Scoring and Weighting'!$B$10:$C$12,2,FALSE),'Scoring and Weighting'!$C$13)</f>
        <v>70</v>
      </c>
      <c r="BL9" s="46">
        <f>VLOOKUP(AM9,'Scoring and Weighting'!$C$19:$F$23,4)</f>
        <v>30</v>
      </c>
      <c r="BM9" s="47">
        <f t="shared" si="3"/>
        <v>33.3333333</v>
      </c>
      <c r="BN9" s="46">
        <f>IFERROR(VLOOKUP('Summary Table for Print'!AK9,'Scoring and Weighting'!$C$35:$F$39,4,1),30)</f>
        <v>30</v>
      </c>
      <c r="BO9" s="46">
        <f t="shared" si="2"/>
        <v>20</v>
      </c>
      <c r="BP9" s="47">
        <f>IFERROR(VLOOKUP(AN9,'Scoring and Weighting'!$B$63:$C$65,2,FALSE),1)</f>
        <v>1</v>
      </c>
      <c r="BQ9" s="49">
        <f>BK9*'Scoring and Weighting'!$C$55*'Summary Table for Print'!BP9</f>
        <v>17.5</v>
      </c>
      <c r="BR9" s="49">
        <f>BL9*BP9*'Scoring and Weighting'!$C$56</f>
        <v>7.5</v>
      </c>
      <c r="BS9" s="49">
        <f>BP9*BM9*'Scoring and Weighting'!$C$57</f>
        <v>8.3333333249999999</v>
      </c>
      <c r="BT9" s="49">
        <f>BP9*BN9*'Scoring and Weighting'!$C$58</f>
        <v>3</v>
      </c>
      <c r="BU9" s="49">
        <f>BP9*BO9*'Scoring and Weighting'!$C$59</f>
        <v>3</v>
      </c>
      <c r="BV9" s="50">
        <f t="shared" si="4"/>
        <v>39.333333324999998</v>
      </c>
    </row>
    <row r="10" spans="1:74" x14ac:dyDescent="0.25">
      <c r="A10" s="41" t="s">
        <v>125</v>
      </c>
      <c r="B10" s="41"/>
      <c r="C10" s="41">
        <v>72</v>
      </c>
      <c r="D10" s="41"/>
      <c r="E10" s="41"/>
      <c r="F10" s="41">
        <v>9082</v>
      </c>
      <c r="G10" s="41" t="s">
        <v>49</v>
      </c>
      <c r="H10" s="41">
        <v>1</v>
      </c>
      <c r="I10" s="41">
        <v>0</v>
      </c>
      <c r="J10" s="41" t="str">
        <f>VLOOKUP(A10,'Table with Jurisdictions'!$A$4:$Q$129,17,0)</f>
        <v>Aliso Viejo</v>
      </c>
      <c r="K10" s="41" t="s">
        <v>50</v>
      </c>
      <c r="L10" s="41"/>
      <c r="M10" s="119" t="s">
        <v>51</v>
      </c>
      <c r="N10" s="41">
        <v>10619.0299810373</v>
      </c>
      <c r="O10" s="41">
        <v>5430205.8138061604</v>
      </c>
      <c r="P10" s="42">
        <v>124.660760655133</v>
      </c>
      <c r="Q10" s="41">
        <v>84</v>
      </c>
      <c r="R10" s="41">
        <v>82</v>
      </c>
      <c r="S10" s="41">
        <v>98</v>
      </c>
      <c r="T10" s="41">
        <v>0</v>
      </c>
      <c r="U10" s="41">
        <v>0</v>
      </c>
      <c r="V10" s="41">
        <v>0</v>
      </c>
      <c r="W10" s="41">
        <v>0</v>
      </c>
      <c r="X10" s="41">
        <v>0</v>
      </c>
      <c r="Y10" s="41">
        <v>0</v>
      </c>
      <c r="Z10" s="41">
        <v>0</v>
      </c>
      <c r="AA10" s="41">
        <v>2</v>
      </c>
      <c r="AB10" s="41">
        <v>0</v>
      </c>
      <c r="AC10" s="41">
        <v>0</v>
      </c>
      <c r="AD10" s="41">
        <v>0</v>
      </c>
      <c r="AE10" s="41">
        <v>1</v>
      </c>
      <c r="AF10" s="41">
        <v>0.7</v>
      </c>
      <c r="AG10" s="41">
        <v>0.06</v>
      </c>
      <c r="AH10" s="41">
        <v>1</v>
      </c>
      <c r="AI10" s="41">
        <v>3.5700000000000003E-2</v>
      </c>
      <c r="AJ10" s="41">
        <v>3.5700000000000003E-2</v>
      </c>
      <c r="AK10" s="53">
        <f t="shared" si="0"/>
        <v>104.71503895031172</v>
      </c>
      <c r="AL10" s="43">
        <v>3.5700000000000003E-2</v>
      </c>
      <c r="AM10" s="43">
        <f>IF(ISBLANK(AT10),AL10*'ratio of flow'!$D$1,AT10)</f>
        <v>7.0000000000000001E-3</v>
      </c>
      <c r="AN10" s="44"/>
      <c r="AO10" s="44"/>
      <c r="AP10" s="44"/>
      <c r="AQ10" s="44"/>
      <c r="AR10" s="45" t="s">
        <v>79</v>
      </c>
      <c r="AS10" s="45">
        <v>6.4249940716149007E-2</v>
      </c>
      <c r="AT10" s="45">
        <v>7.0000000000000001E-3</v>
      </c>
      <c r="AU10" s="45">
        <v>8.1711214946371999E-2</v>
      </c>
      <c r="AV10" s="45">
        <v>2E-3</v>
      </c>
      <c r="AW10" s="45">
        <v>0.30199999999999999</v>
      </c>
      <c r="AX10" s="45">
        <v>1.5E-3</v>
      </c>
      <c r="AY10" s="45">
        <v>2.6499999999999999E-2</v>
      </c>
      <c r="AZ10" s="45">
        <v>5.6000000000000001E-2</v>
      </c>
      <c r="BA10" s="54">
        <v>3.7857142860000002</v>
      </c>
      <c r="BB10" s="54">
        <v>0.21428571399999999</v>
      </c>
      <c r="BC10" s="41">
        <v>6.1764437194126998E-2</v>
      </c>
      <c r="BD10" s="41">
        <v>0.30199999999999999</v>
      </c>
      <c r="BE10" s="41">
        <v>5.8999999999999997E-2</v>
      </c>
      <c r="BF10" s="41">
        <v>2E-3</v>
      </c>
      <c r="BG10" s="41">
        <v>7.0862847222221997E-2</v>
      </c>
      <c r="BH10" s="41">
        <v>0.27800000000000002</v>
      </c>
      <c r="BI10" s="41">
        <v>5.8500000000000003E-2</v>
      </c>
      <c r="BJ10" s="41">
        <v>8.0000000000000002E-3</v>
      </c>
      <c r="BK10" s="46">
        <f>IFERROR(VLOOKUP(AQ10,'Scoring and Weighting'!$B$10:$C$12,2,FALSE),'Scoring and Weighting'!$C$13)</f>
        <v>70</v>
      </c>
      <c r="BL10" s="46">
        <f>VLOOKUP(AM10,'Scoring and Weighting'!$C$19:$F$23,4)</f>
        <v>30</v>
      </c>
      <c r="BM10" s="47">
        <f t="shared" si="3"/>
        <v>21.428571399999999</v>
      </c>
      <c r="BN10" s="46">
        <f>IFERROR(VLOOKUP('Summary Table for Print'!AK10,'Scoring and Weighting'!$C$35:$F$39,4,1),30)</f>
        <v>30</v>
      </c>
      <c r="BO10" s="46">
        <f t="shared" si="2"/>
        <v>20</v>
      </c>
      <c r="BP10" s="47">
        <f>IFERROR(VLOOKUP(AN10,'Scoring and Weighting'!$B$63:$C$65,2,FALSE),1)</f>
        <v>1</v>
      </c>
      <c r="BQ10" s="49">
        <f>BK10*'Scoring and Weighting'!$C$55*'Summary Table for Print'!BP10</f>
        <v>17.5</v>
      </c>
      <c r="BR10" s="49">
        <f>BL10*BP10*'Scoring and Weighting'!$C$56</f>
        <v>7.5</v>
      </c>
      <c r="BS10" s="49">
        <f>BP10*BM10*'Scoring and Weighting'!$C$57</f>
        <v>5.3571428499999998</v>
      </c>
      <c r="BT10" s="49">
        <f>BP10*BN10*'Scoring and Weighting'!$C$58</f>
        <v>3</v>
      </c>
      <c r="BU10" s="49">
        <f>BP10*BO10*'Scoring and Weighting'!$C$59</f>
        <v>3</v>
      </c>
      <c r="BV10" s="50">
        <f t="shared" si="4"/>
        <v>36.357142850000002</v>
      </c>
    </row>
    <row r="11" spans="1:74" x14ac:dyDescent="0.25">
      <c r="A11" s="41" t="s">
        <v>159</v>
      </c>
      <c r="B11" s="41" t="s">
        <v>81</v>
      </c>
      <c r="C11" s="41">
        <v>120</v>
      </c>
      <c r="D11" s="41"/>
      <c r="E11" s="41"/>
      <c r="F11" s="41">
        <v>12126</v>
      </c>
      <c r="G11" s="41" t="s">
        <v>82</v>
      </c>
      <c r="H11" s="41">
        <v>1</v>
      </c>
      <c r="I11" s="41">
        <v>0</v>
      </c>
      <c r="J11" s="41" t="str">
        <f>VLOOKUP(A11,'Table with Jurisdictions'!$A$4:$Q$129,17,0)</f>
        <v>Laguna Niguel</v>
      </c>
      <c r="K11" s="41" t="s">
        <v>50</v>
      </c>
      <c r="L11" s="41"/>
      <c r="M11" s="119" t="s">
        <v>51</v>
      </c>
      <c r="N11" s="41">
        <v>42037.588012665103</v>
      </c>
      <c r="O11" s="41">
        <v>42734705.527915202</v>
      </c>
      <c r="P11" s="42">
        <v>222.46726523817301</v>
      </c>
      <c r="Q11" s="41">
        <v>98</v>
      </c>
      <c r="R11" s="41">
        <v>0</v>
      </c>
      <c r="S11" s="41">
        <v>2</v>
      </c>
      <c r="T11" s="41">
        <v>0</v>
      </c>
      <c r="U11" s="41">
        <v>0</v>
      </c>
      <c r="V11" s="41">
        <v>0</v>
      </c>
      <c r="W11" s="41">
        <v>98</v>
      </c>
      <c r="X11" s="41">
        <v>0</v>
      </c>
      <c r="Y11" s="41">
        <v>0</v>
      </c>
      <c r="Z11" s="41">
        <v>0</v>
      </c>
      <c r="AA11" s="41">
        <v>0</v>
      </c>
      <c r="AB11" s="41">
        <v>0</v>
      </c>
      <c r="AC11" s="41">
        <v>0</v>
      </c>
      <c r="AD11" s="41">
        <v>0</v>
      </c>
      <c r="AE11" s="41">
        <v>3</v>
      </c>
      <c r="AF11" s="41">
        <v>1.06666666666666</v>
      </c>
      <c r="AG11" s="41">
        <v>0.06</v>
      </c>
      <c r="AH11" s="41">
        <v>0.39285714285714302</v>
      </c>
      <c r="AI11" s="41">
        <v>1.7212499999999999E-2</v>
      </c>
      <c r="AJ11" s="41">
        <v>2.8049999999999999E-2</v>
      </c>
      <c r="AK11" s="53">
        <f t="shared" si="0"/>
        <v>218.01791993340953</v>
      </c>
      <c r="AL11" s="43">
        <v>2.1462499999999999E-2</v>
      </c>
      <c r="AM11" s="43">
        <f>IF(ISBLANK(AT11),AL11*'ratio of flow'!$D$1,AT11)</f>
        <v>7.0000000000000001E-3</v>
      </c>
      <c r="AN11" s="44" t="s">
        <v>52</v>
      </c>
      <c r="AO11" s="44" t="s">
        <v>53</v>
      </c>
      <c r="AP11" s="44" t="s">
        <v>53</v>
      </c>
      <c r="AQ11" s="44" t="s">
        <v>114</v>
      </c>
      <c r="AR11" s="45" t="s">
        <v>70</v>
      </c>
      <c r="AS11" s="45">
        <v>0.139124099722992</v>
      </c>
      <c r="AT11" s="45">
        <v>7.0000000000000001E-3</v>
      </c>
      <c r="AU11" s="45">
        <v>1.5267661945133E-2</v>
      </c>
      <c r="AV11" s="45">
        <v>3.5000000000000003E-2</v>
      </c>
      <c r="AW11" s="45">
        <v>0.26300000000000001</v>
      </c>
      <c r="AX11" s="45">
        <v>5.0000000000000001E-3</v>
      </c>
      <c r="AY11" s="45">
        <v>1.4E-2</v>
      </c>
      <c r="AZ11" s="45">
        <v>9.6000000000000002E-2</v>
      </c>
      <c r="BA11" s="54">
        <v>2</v>
      </c>
      <c r="BB11" s="54">
        <v>0.71428571399999996</v>
      </c>
      <c r="BC11" s="41">
        <v>0.14102495049505001</v>
      </c>
      <c r="BD11" s="41">
        <v>0.26200000000000001</v>
      </c>
      <c r="BE11" s="41">
        <v>0.14000000000000001</v>
      </c>
      <c r="BF11" s="41">
        <v>3.9E-2</v>
      </c>
      <c r="BG11" s="41">
        <v>0.134700460829493</v>
      </c>
      <c r="BH11" s="41">
        <v>0.26300000000000001</v>
      </c>
      <c r="BI11" s="41">
        <v>0.13200000000000001</v>
      </c>
      <c r="BJ11" s="41">
        <v>3.5000000000000003E-2</v>
      </c>
      <c r="BK11" s="46">
        <f>IFERROR(VLOOKUP(AQ11,'Scoring and Weighting'!$B$10:$C$12,2,FALSE),'Scoring and Weighting'!$C$13)</f>
        <v>60</v>
      </c>
      <c r="BL11" s="46">
        <f>VLOOKUP(AM11,'Scoring and Weighting'!$C$19:$F$23,4)</f>
        <v>30</v>
      </c>
      <c r="BM11" s="47">
        <f t="shared" si="3"/>
        <v>71.428571399999996</v>
      </c>
      <c r="BN11" s="46">
        <f>IFERROR(VLOOKUP('Summary Table for Print'!AK11,'Scoring and Weighting'!$C$35:$F$39,4,1),30)</f>
        <v>50</v>
      </c>
      <c r="BO11" s="46">
        <f t="shared" si="2"/>
        <v>100</v>
      </c>
      <c r="BP11" s="47">
        <f>IFERROR(VLOOKUP(AN11,'Scoring and Weighting'!$B$63:$C$65,2,FALSE),1)</f>
        <v>1</v>
      </c>
      <c r="BQ11" s="49">
        <f>BK11*'Scoring and Weighting'!$C$55*'Summary Table for Print'!BP11</f>
        <v>15</v>
      </c>
      <c r="BR11" s="49">
        <f>BL11*BP11*'Scoring and Weighting'!$C$56</f>
        <v>7.5</v>
      </c>
      <c r="BS11" s="49">
        <f>BP11*BM11*'Scoring and Weighting'!$C$57</f>
        <v>17.857142849999999</v>
      </c>
      <c r="BT11" s="49">
        <f>BP11*BN11*'Scoring and Weighting'!$C$58</f>
        <v>5</v>
      </c>
      <c r="BU11" s="49">
        <f>BP11*BO11*'Scoring and Weighting'!$C$59</f>
        <v>15</v>
      </c>
      <c r="BV11" s="50">
        <f t="shared" si="4"/>
        <v>60.357142850000002</v>
      </c>
    </row>
    <row r="12" spans="1:74" x14ac:dyDescent="0.25">
      <c r="A12" s="41" t="s">
        <v>88</v>
      </c>
      <c r="B12" s="41" t="s">
        <v>86</v>
      </c>
      <c r="C12" s="41">
        <v>78</v>
      </c>
      <c r="D12" s="41"/>
      <c r="E12" s="41"/>
      <c r="F12" s="41">
        <v>12177</v>
      </c>
      <c r="G12" s="41" t="s">
        <v>82</v>
      </c>
      <c r="H12" s="41">
        <v>1</v>
      </c>
      <c r="I12" s="41">
        <v>0</v>
      </c>
      <c r="J12" s="41" t="str">
        <f>VLOOKUP(A12,'Table with Jurisdictions'!$A$4:$Q$129,17,0)</f>
        <v>Laguna Niguel</v>
      </c>
      <c r="K12" s="41" t="s">
        <v>50</v>
      </c>
      <c r="L12" s="41"/>
      <c r="M12" s="119" t="s">
        <v>84</v>
      </c>
      <c r="N12" s="41">
        <v>29476.341841978501</v>
      </c>
      <c r="O12" s="41">
        <v>22321426.930841599</v>
      </c>
      <c r="P12" s="42">
        <v>329.52135055845798</v>
      </c>
      <c r="Q12" s="41">
        <v>68</v>
      </c>
      <c r="R12" s="41">
        <v>64</v>
      </c>
      <c r="S12" s="41">
        <v>0</v>
      </c>
      <c r="T12" s="41">
        <v>0</v>
      </c>
      <c r="U12" s="41">
        <v>0</v>
      </c>
      <c r="V12" s="41">
        <v>0</v>
      </c>
      <c r="W12" s="41">
        <v>98</v>
      </c>
      <c r="X12" s="41">
        <v>0</v>
      </c>
      <c r="Y12" s="41">
        <v>0</v>
      </c>
      <c r="Z12" s="41">
        <v>0</v>
      </c>
      <c r="AA12" s="41">
        <v>0</v>
      </c>
      <c r="AB12" s="41">
        <v>0</v>
      </c>
      <c r="AC12" s="41">
        <v>0</v>
      </c>
      <c r="AD12" s="41">
        <v>2</v>
      </c>
      <c r="AE12" s="41">
        <v>3</v>
      </c>
      <c r="AF12" s="41">
        <v>0.8</v>
      </c>
      <c r="AG12" s="41">
        <v>4.6666666666667002E-2</v>
      </c>
      <c r="AH12" s="41">
        <v>2.6470588235294099</v>
      </c>
      <c r="AI12" s="41">
        <v>5.0999999999999997E-2</v>
      </c>
      <c r="AJ12" s="41">
        <v>0.125</v>
      </c>
      <c r="AK12" s="53">
        <f t="shared" si="0"/>
        <v>224.07451837975142</v>
      </c>
      <c r="AL12" s="43">
        <v>8.5866666666666994E-2</v>
      </c>
      <c r="AM12" s="43">
        <f>IF(ISBLANK(AT12),AL12*'ratio of flow'!$D$1,AT12)</f>
        <v>8.0000000000000002E-3</v>
      </c>
      <c r="AN12" s="44" t="s">
        <v>52</v>
      </c>
      <c r="AO12" s="44" t="s">
        <v>53</v>
      </c>
      <c r="AP12" s="44" t="s">
        <v>53</v>
      </c>
      <c r="AQ12" s="44" t="s">
        <v>69</v>
      </c>
      <c r="AR12" s="45" t="s">
        <v>87</v>
      </c>
      <c r="AS12" s="45">
        <v>0.13572933730454201</v>
      </c>
      <c r="AT12" s="45">
        <v>8.0000000000000002E-3</v>
      </c>
      <c r="AU12" s="45">
        <v>2.0108676272530001E-2</v>
      </c>
      <c r="AV12" s="45">
        <v>2.1999999999999999E-2</v>
      </c>
      <c r="AW12" s="45">
        <v>0.41499999999999998</v>
      </c>
      <c r="AX12" s="45">
        <v>0</v>
      </c>
      <c r="AY12" s="45">
        <v>4.2000000000000003E-2</v>
      </c>
      <c r="AZ12" s="45">
        <v>9.1999999999999998E-2</v>
      </c>
      <c r="BA12" s="54">
        <v>5.25</v>
      </c>
      <c r="BB12" s="54">
        <v>0</v>
      </c>
      <c r="BC12" s="41">
        <v>0.14106315179605999</v>
      </c>
      <c r="BD12" s="41">
        <v>0.41499999999999998</v>
      </c>
      <c r="BE12" s="41">
        <v>0.13600000000000001</v>
      </c>
      <c r="BF12" s="41">
        <v>2.1999999999999999E-2</v>
      </c>
      <c r="BG12" s="41">
        <v>0.126139583333333</v>
      </c>
      <c r="BH12" s="41">
        <v>0.25700000000000001</v>
      </c>
      <c r="BI12" s="41">
        <v>0.128</v>
      </c>
      <c r="BJ12" s="41">
        <v>2.1999999999999999E-2</v>
      </c>
      <c r="BK12" s="46">
        <f>IFERROR(VLOOKUP(AQ12,'Scoring and Weighting'!$B$10:$C$12,2,FALSE),'Scoring and Weighting'!$C$13)</f>
        <v>80</v>
      </c>
      <c r="BL12" s="46">
        <f>VLOOKUP(AM12,'Scoring and Weighting'!$C$19:$F$23,4)</f>
        <v>30</v>
      </c>
      <c r="BM12" s="47">
        <f t="shared" si="3"/>
        <v>0</v>
      </c>
      <c r="BN12" s="46">
        <f>IFERROR(VLOOKUP('Summary Table for Print'!AK12,'Scoring and Weighting'!$C$35:$F$39,4,1),30)</f>
        <v>70</v>
      </c>
      <c r="BO12" s="46">
        <f t="shared" si="2"/>
        <v>100</v>
      </c>
      <c r="BP12" s="47">
        <f>IFERROR(VLOOKUP(AN12,'Scoring and Weighting'!$B$63:$C$65,2,FALSE),1)</f>
        <v>1</v>
      </c>
      <c r="BQ12" s="49">
        <f>BK12*'Scoring and Weighting'!$C$55*'Summary Table for Print'!BP12</f>
        <v>20</v>
      </c>
      <c r="BR12" s="49">
        <f>BL12*BP12*'Scoring and Weighting'!$C$56</f>
        <v>7.5</v>
      </c>
      <c r="BS12" s="49">
        <f>BP12*BM12*'Scoring and Weighting'!$C$57</f>
        <v>0</v>
      </c>
      <c r="BT12" s="49">
        <f>BP12*BN12*'Scoring and Weighting'!$C$58</f>
        <v>7</v>
      </c>
      <c r="BU12" s="49">
        <f>BP12*BO12*'Scoring and Weighting'!$C$59</f>
        <v>15</v>
      </c>
      <c r="BV12" s="50">
        <f t="shared" si="4"/>
        <v>49.5</v>
      </c>
    </row>
    <row r="13" spans="1:74" x14ac:dyDescent="0.25">
      <c r="A13" s="41" t="s">
        <v>170</v>
      </c>
      <c r="B13" s="41" t="s">
        <v>89</v>
      </c>
      <c r="C13" s="41">
        <v>72</v>
      </c>
      <c r="D13" s="41"/>
      <c r="E13" s="41"/>
      <c r="F13" s="41">
        <v>12058</v>
      </c>
      <c r="G13" s="41" t="s">
        <v>82</v>
      </c>
      <c r="H13" s="41">
        <v>1</v>
      </c>
      <c r="I13" s="41">
        <v>0</v>
      </c>
      <c r="J13" s="41" t="str">
        <f>VLOOKUP(A13,'Table with Jurisdictions'!$A$4:$Q$129,17,0)</f>
        <v>Laguna Niguel</v>
      </c>
      <c r="K13" s="41" t="s">
        <v>50</v>
      </c>
      <c r="L13" s="41"/>
      <c r="M13" s="119" t="s">
        <v>51</v>
      </c>
      <c r="N13" s="41">
        <v>18023.188275010001</v>
      </c>
      <c r="O13" s="41">
        <v>14353905.304059399</v>
      </c>
      <c r="P13" s="42">
        <v>155.28755696205201</v>
      </c>
      <c r="Q13" s="41">
        <v>91</v>
      </c>
      <c r="R13" s="41">
        <v>89</v>
      </c>
      <c r="S13" s="41">
        <v>0</v>
      </c>
      <c r="T13" s="41">
        <v>0</v>
      </c>
      <c r="U13" s="41">
        <v>0</v>
      </c>
      <c r="V13" s="41">
        <v>0</v>
      </c>
      <c r="W13" s="41">
        <v>100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41">
        <v>0</v>
      </c>
      <c r="AD13" s="41">
        <v>0</v>
      </c>
      <c r="AE13" s="41">
        <v>3</v>
      </c>
      <c r="AF13" s="41">
        <v>0.57333333333333303</v>
      </c>
      <c r="AG13" s="41">
        <v>0.03</v>
      </c>
      <c r="AH13" s="41">
        <v>1.8333333333333299</v>
      </c>
      <c r="AI13" s="41">
        <v>1.7000000000000001E-2</v>
      </c>
      <c r="AJ13" s="41">
        <v>4.0800000000000003E-2</v>
      </c>
      <c r="AK13" s="53">
        <f t="shared" si="0"/>
        <v>141.31167683546732</v>
      </c>
      <c r="AL13" s="43">
        <v>2.7171666666667E-2</v>
      </c>
      <c r="AM13" s="43">
        <f>IF(ISBLANK(AT13),AL13*'ratio of flow'!$D$1,AT13)</f>
        <v>0.01</v>
      </c>
      <c r="AN13" s="44" t="s">
        <v>52</v>
      </c>
      <c r="AO13" s="44" t="s">
        <v>53</v>
      </c>
      <c r="AP13" s="44" t="s">
        <v>53</v>
      </c>
      <c r="AQ13" s="44" t="s">
        <v>114</v>
      </c>
      <c r="AR13" s="45" t="s">
        <v>90</v>
      </c>
      <c r="AS13" s="45">
        <v>1.080297029703E-2</v>
      </c>
      <c r="AT13" s="45">
        <v>0.01</v>
      </c>
      <c r="AU13" s="45">
        <v>0.25946292732105197</v>
      </c>
      <c r="AV13" s="45">
        <v>0</v>
      </c>
      <c r="AW13" s="45">
        <v>9.7000000000000003E-2</v>
      </c>
      <c r="AX13" s="45">
        <v>2E-3</v>
      </c>
      <c r="AY13" s="45">
        <v>0.184</v>
      </c>
      <c r="AZ13" s="45">
        <v>3.0000000000000001E-3</v>
      </c>
      <c r="BA13" s="54">
        <v>18.399999999999899</v>
      </c>
      <c r="BB13" s="54">
        <v>0.2</v>
      </c>
      <c r="BC13" s="41">
        <v>1.1493767313019E-2</v>
      </c>
      <c r="BD13" s="41">
        <v>9.7000000000000003E-2</v>
      </c>
      <c r="BE13" s="41">
        <v>8.0000000000000002E-3</v>
      </c>
      <c r="BF13" s="41">
        <v>0</v>
      </c>
      <c r="BG13" s="41">
        <v>9.0711805555560004E-3</v>
      </c>
      <c r="BH13" s="41">
        <v>9.4E-2</v>
      </c>
      <c r="BI13" s="41">
        <v>8.0000000000000002E-3</v>
      </c>
      <c r="BJ13" s="41">
        <v>0</v>
      </c>
      <c r="BK13" s="46">
        <f>IFERROR(VLOOKUP(AQ13,'Scoring and Weighting'!$B$10:$C$12,2,FALSE),'Scoring and Weighting'!$C$13)</f>
        <v>60</v>
      </c>
      <c r="BL13" s="46">
        <f>VLOOKUP(AM13,'Scoring and Weighting'!$C$19:$F$23,4)</f>
        <v>30</v>
      </c>
      <c r="BM13" s="47">
        <f t="shared" si="3"/>
        <v>20</v>
      </c>
      <c r="BN13" s="46">
        <f>IFERROR(VLOOKUP('Summary Table for Print'!AK13,'Scoring and Weighting'!$C$35:$F$39,4,1),30)</f>
        <v>50</v>
      </c>
      <c r="BO13" s="46">
        <f t="shared" si="2"/>
        <v>100</v>
      </c>
      <c r="BP13" s="47">
        <f>IFERROR(VLOOKUP(AN13,'Scoring and Weighting'!$B$63:$C$65,2,FALSE),1)</f>
        <v>1</v>
      </c>
      <c r="BQ13" s="49">
        <f>BK13*'Scoring and Weighting'!$C$55*'Summary Table for Print'!BP13</f>
        <v>15</v>
      </c>
      <c r="BR13" s="49">
        <f>BL13*BP13*'Scoring and Weighting'!$C$56</f>
        <v>7.5</v>
      </c>
      <c r="BS13" s="49">
        <f>BP13*BM13*'Scoring and Weighting'!$C$57</f>
        <v>5</v>
      </c>
      <c r="BT13" s="49">
        <f>BP13*BN13*'Scoring and Weighting'!$C$58</f>
        <v>5</v>
      </c>
      <c r="BU13" s="49">
        <f>BP13*BO13*'Scoring and Weighting'!$C$59</f>
        <v>15</v>
      </c>
      <c r="BV13" s="50">
        <f t="shared" si="4"/>
        <v>47.5</v>
      </c>
    </row>
    <row r="14" spans="1:74" x14ac:dyDescent="0.25">
      <c r="A14" s="41" t="s">
        <v>253</v>
      </c>
      <c r="B14" s="41" t="s">
        <v>92</v>
      </c>
      <c r="C14" s="41">
        <v>72</v>
      </c>
      <c r="D14" s="41"/>
      <c r="E14" s="41"/>
      <c r="F14" s="41">
        <v>12058</v>
      </c>
      <c r="G14" s="41" t="s">
        <v>82</v>
      </c>
      <c r="H14" s="41">
        <v>1</v>
      </c>
      <c r="I14" s="41">
        <v>0</v>
      </c>
      <c r="J14" s="41" t="str">
        <f>VLOOKUP(A14,'Table with Jurisdictions'!$A$4:$Q$129,17,0)</f>
        <v>Laguna Niguel</v>
      </c>
      <c r="K14" s="41" t="s">
        <v>50</v>
      </c>
      <c r="L14" s="41"/>
      <c r="M14" s="119" t="s">
        <v>84</v>
      </c>
      <c r="N14" s="41">
        <v>16685.265945506198</v>
      </c>
      <c r="O14" s="41">
        <v>12606326.933501</v>
      </c>
      <c r="P14" s="42">
        <v>147.045550159241</v>
      </c>
      <c r="Q14" s="41">
        <v>48</v>
      </c>
      <c r="R14" s="41">
        <v>48</v>
      </c>
      <c r="S14" s="41">
        <v>0</v>
      </c>
      <c r="T14" s="41">
        <v>0</v>
      </c>
      <c r="U14" s="41">
        <v>0</v>
      </c>
      <c r="V14" s="41">
        <v>0</v>
      </c>
      <c r="W14" s="41">
        <v>100</v>
      </c>
      <c r="X14" s="41">
        <v>0</v>
      </c>
      <c r="Y14" s="41">
        <v>0</v>
      </c>
      <c r="Z14" s="41">
        <v>0</v>
      </c>
      <c r="AA14" s="41">
        <v>0</v>
      </c>
      <c r="AB14" s="41">
        <v>0</v>
      </c>
      <c r="AC14" s="41">
        <v>0</v>
      </c>
      <c r="AD14" s="41">
        <v>0</v>
      </c>
      <c r="AE14" s="41">
        <v>2</v>
      </c>
      <c r="AF14" s="41">
        <v>0.8</v>
      </c>
      <c r="AG14" s="41">
        <v>9.5000000000000001E-2</v>
      </c>
      <c r="AH14" s="41">
        <v>1.875</v>
      </c>
      <c r="AI14" s="41">
        <v>5.0999999999999997E-2</v>
      </c>
      <c r="AJ14" s="41">
        <v>0.1051875</v>
      </c>
      <c r="AK14" s="53">
        <f t="shared" si="0"/>
        <v>70.581864076435693</v>
      </c>
      <c r="AL14" s="43">
        <v>7.8093750000000003E-2</v>
      </c>
      <c r="AM14" s="43">
        <f>IF(ISBLANK(AT14),AL14*'ratio of flow'!$D$1,AT14)</f>
        <v>1.0999999999999999E-2</v>
      </c>
      <c r="AN14" s="44"/>
      <c r="AO14" s="44"/>
      <c r="AP14" s="44"/>
      <c r="AQ14" s="44"/>
      <c r="AR14" s="45" t="s">
        <v>90</v>
      </c>
      <c r="AS14" s="45">
        <v>2.6951732673267E-2</v>
      </c>
      <c r="AT14" s="45">
        <v>1.0999999999999999E-2</v>
      </c>
      <c r="AU14" s="45">
        <v>0.517656242824999</v>
      </c>
      <c r="AV14" s="45">
        <v>0</v>
      </c>
      <c r="AW14" s="45">
        <v>0.434</v>
      </c>
      <c r="AX14" s="45">
        <v>0</v>
      </c>
      <c r="AY14" s="45">
        <v>6.2E-2</v>
      </c>
      <c r="AZ14" s="45">
        <v>6.0000000000000001E-3</v>
      </c>
      <c r="BA14" s="54">
        <v>5.6363636359999996</v>
      </c>
      <c r="BB14" s="54">
        <v>0</v>
      </c>
      <c r="BC14" s="41">
        <v>2.8715027700831001E-2</v>
      </c>
      <c r="BD14" s="41">
        <v>0.34300000000000003</v>
      </c>
      <c r="BE14" s="41">
        <v>1.4999999999999999E-2</v>
      </c>
      <c r="BF14" s="41">
        <v>0</v>
      </c>
      <c r="BG14" s="41">
        <v>2.2531249999999999E-2</v>
      </c>
      <c r="BH14" s="41">
        <v>0.434</v>
      </c>
      <c r="BI14" s="41">
        <v>7.0000000000000001E-3</v>
      </c>
      <c r="BJ14" s="41">
        <v>0</v>
      </c>
      <c r="BK14" s="46">
        <f>IFERROR(VLOOKUP(AQ14,'Scoring and Weighting'!$B$10:$C$12,2,FALSE),'Scoring and Weighting'!$C$13)</f>
        <v>70</v>
      </c>
      <c r="BL14" s="46">
        <f>VLOOKUP(AM14,'Scoring and Weighting'!$C$19:$F$23,4)</f>
        <v>30</v>
      </c>
      <c r="BM14" s="47">
        <f t="shared" si="3"/>
        <v>0</v>
      </c>
      <c r="BN14" s="46">
        <f>IFERROR(VLOOKUP('Summary Table for Print'!AK14,'Scoring and Weighting'!$C$35:$F$39,4,1),30)</f>
        <v>30</v>
      </c>
      <c r="BO14" s="46">
        <f t="shared" si="2"/>
        <v>40</v>
      </c>
      <c r="BP14" s="47">
        <f>IFERROR(VLOOKUP(AN14,'Scoring and Weighting'!$B$63:$C$65,2,FALSE),1)</f>
        <v>1</v>
      </c>
      <c r="BQ14" s="49">
        <f>BK14*'Scoring and Weighting'!$C$55*'Summary Table for Print'!BP14</f>
        <v>17.5</v>
      </c>
      <c r="BR14" s="49">
        <f>BL14*BP14*'Scoring and Weighting'!$C$56</f>
        <v>7.5</v>
      </c>
      <c r="BS14" s="49">
        <f>BP14*BM14*'Scoring and Weighting'!$C$57</f>
        <v>0</v>
      </c>
      <c r="BT14" s="49">
        <f>BP14*BN14*'Scoring and Weighting'!$C$58</f>
        <v>3</v>
      </c>
      <c r="BU14" s="49">
        <f>BP14*BO14*'Scoring and Weighting'!$C$59</f>
        <v>6</v>
      </c>
      <c r="BV14" s="50">
        <f t="shared" si="4"/>
        <v>34</v>
      </c>
    </row>
    <row r="15" spans="1:74" x14ac:dyDescent="0.25">
      <c r="A15" s="41" t="s">
        <v>91</v>
      </c>
      <c r="B15" s="41" t="s">
        <v>94</v>
      </c>
      <c r="C15" s="41">
        <v>96</v>
      </c>
      <c r="D15" s="41"/>
      <c r="E15" s="41"/>
      <c r="F15" s="41">
        <v>724</v>
      </c>
      <c r="G15" s="41" t="s">
        <v>95</v>
      </c>
      <c r="H15" s="41">
        <v>1</v>
      </c>
      <c r="I15" s="41">
        <v>0</v>
      </c>
      <c r="J15" s="41" t="str">
        <f>VLOOKUP(A15,'Table with Jurisdictions'!$A$4:$Q$129,17,0)</f>
        <v>Laguna Niguel</v>
      </c>
      <c r="K15" s="41" t="s">
        <v>50</v>
      </c>
      <c r="L15" s="41"/>
      <c r="M15" s="119" t="s">
        <v>84</v>
      </c>
      <c r="N15" s="41">
        <v>25255.889853356101</v>
      </c>
      <c r="O15" s="41">
        <v>15901177.490108101</v>
      </c>
      <c r="P15" s="42">
        <v>289.402346519167</v>
      </c>
      <c r="Q15" s="41">
        <v>46</v>
      </c>
      <c r="R15" s="41">
        <v>44</v>
      </c>
      <c r="S15" s="41">
        <v>0</v>
      </c>
      <c r="T15" s="41">
        <v>0</v>
      </c>
      <c r="U15" s="41">
        <v>0</v>
      </c>
      <c r="V15" s="41">
        <v>0</v>
      </c>
      <c r="W15" s="41">
        <v>97</v>
      </c>
      <c r="X15" s="41">
        <v>0</v>
      </c>
      <c r="Y15" s="41">
        <v>0</v>
      </c>
      <c r="Z15" s="41">
        <v>0</v>
      </c>
      <c r="AA15" s="41">
        <v>0</v>
      </c>
      <c r="AB15" s="41">
        <v>0</v>
      </c>
      <c r="AC15" s="41">
        <v>0</v>
      </c>
      <c r="AD15" s="41">
        <v>3</v>
      </c>
      <c r="AE15" s="41">
        <v>3</v>
      </c>
      <c r="AF15" s="41">
        <v>0.56999999999999995</v>
      </c>
      <c r="AG15" s="41">
        <v>4.3333333333333002E-2</v>
      </c>
      <c r="AH15" s="41">
        <v>1.5</v>
      </c>
      <c r="AI15" s="41">
        <v>1.5299999999999999E-2</v>
      </c>
      <c r="AJ15" s="41">
        <v>5.0999999999999997E-2</v>
      </c>
      <c r="AK15" s="53">
        <f t="shared" si="0"/>
        <v>133.12507939881681</v>
      </c>
      <c r="AL15" s="43">
        <v>3.2937500000000001E-2</v>
      </c>
      <c r="AM15" s="43">
        <f>IF(ISBLANK(AT15),AL15*'ratio of flow'!$D$1,AT15)</f>
        <v>1.2999999999999999E-2</v>
      </c>
      <c r="AN15" s="44" t="s">
        <v>52</v>
      </c>
      <c r="AO15" s="44" t="s">
        <v>53</v>
      </c>
      <c r="AP15" s="44" t="s">
        <v>53</v>
      </c>
      <c r="AQ15" s="44" t="s">
        <v>114</v>
      </c>
      <c r="AR15" s="45" t="s">
        <v>97</v>
      </c>
      <c r="AS15" s="45">
        <v>2.6163538873995001E-2</v>
      </c>
      <c r="AT15" s="45">
        <v>1.2999999999999999E-2</v>
      </c>
      <c r="AU15" s="45">
        <v>0.38846193257505901</v>
      </c>
      <c r="AV15" s="45">
        <v>0</v>
      </c>
      <c r="AW15" s="45">
        <v>0.372</v>
      </c>
      <c r="AX15" s="45">
        <v>0</v>
      </c>
      <c r="AY15" s="45">
        <v>0.13800000000000001</v>
      </c>
      <c r="AZ15" s="45">
        <v>1.2999999999999999E-2</v>
      </c>
      <c r="BA15" s="54">
        <v>10.61538462</v>
      </c>
      <c r="BB15" s="54">
        <v>0</v>
      </c>
      <c r="BC15" s="41">
        <v>1.5558011049723999E-2</v>
      </c>
      <c r="BD15" s="41">
        <v>3.7999999999999999E-2</v>
      </c>
      <c r="BE15" s="41">
        <v>1.6E-2</v>
      </c>
      <c r="BF15" s="41">
        <v>0</v>
      </c>
      <c r="BG15" s="41">
        <v>3.6161458333333001E-2</v>
      </c>
      <c r="BH15" s="41">
        <v>0.372</v>
      </c>
      <c r="BI15" s="41">
        <v>1.6E-2</v>
      </c>
      <c r="BJ15" s="41">
        <v>0</v>
      </c>
      <c r="BK15" s="46">
        <f>IFERROR(VLOOKUP(AQ15,'Scoring and Weighting'!$B$10:$C$12,2,FALSE),'Scoring and Weighting'!$C$13)</f>
        <v>60</v>
      </c>
      <c r="BL15" s="46">
        <f>VLOOKUP(AM15,'Scoring and Weighting'!$C$19:$F$23,4)</f>
        <v>30</v>
      </c>
      <c r="BM15" s="47">
        <f t="shared" si="3"/>
        <v>0</v>
      </c>
      <c r="BN15" s="46">
        <f>IFERROR(VLOOKUP('Summary Table for Print'!AK15,'Scoring and Weighting'!$C$35:$F$39,4,1),30)</f>
        <v>50</v>
      </c>
      <c r="BO15" s="46">
        <f t="shared" si="2"/>
        <v>100</v>
      </c>
      <c r="BP15" s="47">
        <f>IFERROR(VLOOKUP(AN15,'Scoring and Weighting'!$B$63:$C$65,2,FALSE),1)</f>
        <v>1</v>
      </c>
      <c r="BQ15" s="49">
        <f>BK15*'Scoring and Weighting'!$C$55*'Summary Table for Print'!BP15</f>
        <v>15</v>
      </c>
      <c r="BR15" s="49">
        <f>BL15*BP15*'Scoring and Weighting'!$C$56</f>
        <v>7.5</v>
      </c>
      <c r="BS15" s="49">
        <f>BP15*BM15*'Scoring and Weighting'!$C$57</f>
        <v>0</v>
      </c>
      <c r="BT15" s="49">
        <f>BP15*BN15*'Scoring and Weighting'!$C$58</f>
        <v>5</v>
      </c>
      <c r="BU15" s="49">
        <f>BP15*BO15*'Scoring and Weighting'!$C$59</f>
        <v>15</v>
      </c>
      <c r="BV15" s="50">
        <f t="shared" si="4"/>
        <v>42.5</v>
      </c>
    </row>
    <row r="16" spans="1:74" x14ac:dyDescent="0.25">
      <c r="A16" s="41" t="s">
        <v>128</v>
      </c>
      <c r="B16" s="41" t="s">
        <v>99</v>
      </c>
      <c r="C16" s="41">
        <v>96</v>
      </c>
      <c r="D16" s="41"/>
      <c r="E16" s="41"/>
      <c r="F16" s="41">
        <v>166</v>
      </c>
      <c r="G16" s="41" t="s">
        <v>62</v>
      </c>
      <c r="H16" s="41">
        <v>1</v>
      </c>
      <c r="I16" s="41">
        <v>0</v>
      </c>
      <c r="J16" s="41" t="str">
        <f>VLOOKUP(A16,'Table with Jurisdictions'!$A$4:$Q$129,17,0)</f>
        <v>Mission Viejo</v>
      </c>
      <c r="K16" s="41" t="s">
        <v>50</v>
      </c>
      <c r="L16" s="41"/>
      <c r="M16" s="119" t="s">
        <v>51</v>
      </c>
      <c r="N16" s="41">
        <v>24156.322657897901</v>
      </c>
      <c r="O16" s="41">
        <v>21541058.0010661</v>
      </c>
      <c r="P16" s="42">
        <v>382.550476096024</v>
      </c>
      <c r="Q16" s="41">
        <v>89</v>
      </c>
      <c r="R16" s="41">
        <v>66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  <c r="X16" s="41">
        <v>0</v>
      </c>
      <c r="Y16" s="41">
        <v>1</v>
      </c>
      <c r="Z16" s="41">
        <v>99</v>
      </c>
      <c r="AA16" s="41">
        <v>0</v>
      </c>
      <c r="AB16" s="41">
        <v>0</v>
      </c>
      <c r="AC16" s="41">
        <v>0</v>
      </c>
      <c r="AD16" s="41">
        <v>0</v>
      </c>
      <c r="AE16" s="41">
        <v>5</v>
      </c>
      <c r="AF16" s="41">
        <v>3.08</v>
      </c>
      <c r="AG16" s="41">
        <v>0.13100000000000001</v>
      </c>
      <c r="AH16" s="41">
        <v>1.1510460251046</v>
      </c>
      <c r="AI16" s="41">
        <v>1.1900000000000001E-2</v>
      </c>
      <c r="AJ16" s="41">
        <v>6.4016736401673597</v>
      </c>
      <c r="AK16" s="53">
        <f t="shared" si="0"/>
        <v>340.46992372546134</v>
      </c>
      <c r="AL16" s="43">
        <v>1.3060472280334701</v>
      </c>
      <c r="AM16" s="43">
        <f>IF(ISBLANK(AT16),AL16*'ratio of flow'!$D$1,AT16)</f>
        <v>1.4E-2</v>
      </c>
      <c r="AN16" s="44" t="s">
        <v>52</v>
      </c>
      <c r="AO16" s="44" t="s">
        <v>131</v>
      </c>
      <c r="AP16" s="44" t="s">
        <v>53</v>
      </c>
      <c r="AQ16" s="44" t="s">
        <v>54</v>
      </c>
      <c r="AR16" s="45" t="s">
        <v>59</v>
      </c>
      <c r="AS16" s="45">
        <v>0.21868378552971601</v>
      </c>
      <c r="AT16" s="45">
        <v>1.4E-2</v>
      </c>
      <c r="AU16" s="45">
        <v>3.5136512344083E-2</v>
      </c>
      <c r="AV16" s="45">
        <v>0.105</v>
      </c>
      <c r="AW16" s="45">
        <v>0.621</v>
      </c>
      <c r="AX16" s="45">
        <v>1E-3</v>
      </c>
      <c r="AY16" s="45">
        <v>6.5500000000000003E-2</v>
      </c>
      <c r="AZ16" s="45">
        <v>0.14699999999999999</v>
      </c>
      <c r="BA16" s="54">
        <v>4.6785714289999998</v>
      </c>
      <c r="BB16" s="54">
        <v>7.1428570999999996E-2</v>
      </c>
      <c r="BC16" s="41">
        <v>0.22227949438202199</v>
      </c>
      <c r="BD16" s="41">
        <v>0.621</v>
      </c>
      <c r="BE16" s="41">
        <v>0.214</v>
      </c>
      <c r="BF16" s="41">
        <v>0.105</v>
      </c>
      <c r="BG16" s="41">
        <v>0.210683333333333</v>
      </c>
      <c r="BH16" s="41">
        <v>0.47</v>
      </c>
      <c r="BI16" s="41">
        <v>0.20499999999999999</v>
      </c>
      <c r="BJ16" s="41">
        <v>0.108</v>
      </c>
      <c r="BK16" s="46">
        <f>IFERROR(VLOOKUP(AQ16,'Scoring and Weighting'!$B$10:$C$12,2,FALSE),'Scoring and Weighting'!$C$13)</f>
        <v>100</v>
      </c>
      <c r="BL16" s="46">
        <f>VLOOKUP(AM16,'Scoring and Weighting'!$C$19:$F$23,4)</f>
        <v>30</v>
      </c>
      <c r="BM16" s="47">
        <f t="shared" si="3"/>
        <v>7.1428570999999996</v>
      </c>
      <c r="BN16" s="46">
        <f>IFERROR(VLOOKUP('Summary Table for Print'!AK16,'Scoring and Weighting'!$C$35:$F$39,4,1),30)</f>
        <v>90</v>
      </c>
      <c r="BO16" s="46">
        <f t="shared" si="2"/>
        <v>100</v>
      </c>
      <c r="BP16" s="47">
        <f>IFERROR(VLOOKUP(AN16,'Scoring and Weighting'!$B$63:$C$65,2,FALSE),1)</f>
        <v>1</v>
      </c>
      <c r="BQ16" s="49">
        <f>BK16*'Scoring and Weighting'!$C$55*'Summary Table for Print'!BP16</f>
        <v>25</v>
      </c>
      <c r="BR16" s="49">
        <f>BL16*BP16*'Scoring and Weighting'!$C$56</f>
        <v>7.5</v>
      </c>
      <c r="BS16" s="49">
        <f>BP16*BM16*'Scoring and Weighting'!$C$57</f>
        <v>1.7857142749999999</v>
      </c>
      <c r="BT16" s="49">
        <f>BP16*BN16*'Scoring and Weighting'!$C$58</f>
        <v>9</v>
      </c>
      <c r="BU16" s="49">
        <f>BP16*BO16*'Scoring and Weighting'!$C$59</f>
        <v>15</v>
      </c>
      <c r="BV16" s="50">
        <f t="shared" si="4"/>
        <v>58.285714274999997</v>
      </c>
    </row>
    <row r="17" spans="1:74" x14ac:dyDescent="0.25">
      <c r="A17" s="41" t="s">
        <v>74</v>
      </c>
      <c r="B17" s="41" t="s">
        <v>101</v>
      </c>
      <c r="C17" s="41">
        <v>90</v>
      </c>
      <c r="D17" s="41"/>
      <c r="E17" s="41"/>
      <c r="F17" s="41">
        <v>136</v>
      </c>
      <c r="G17" s="41" t="s">
        <v>102</v>
      </c>
      <c r="H17" s="41">
        <v>1</v>
      </c>
      <c r="I17" s="41">
        <v>0</v>
      </c>
      <c r="J17" s="41" t="str">
        <f>VLOOKUP(A17,'Table with Jurisdictions'!$A$4:$Q$129,17,0)</f>
        <v>Aliso Viejo</v>
      </c>
      <c r="K17" s="41" t="s">
        <v>50</v>
      </c>
      <c r="L17" s="41"/>
      <c r="M17" s="119" t="s">
        <v>51</v>
      </c>
      <c r="N17" s="41">
        <v>31246.7533328227</v>
      </c>
      <c r="O17" s="41">
        <v>19806302.6948018</v>
      </c>
      <c r="P17" s="42">
        <v>365.78712290372903</v>
      </c>
      <c r="Q17" s="41">
        <v>79</v>
      </c>
      <c r="R17" s="41">
        <v>59</v>
      </c>
      <c r="S17" s="41">
        <v>100</v>
      </c>
      <c r="T17" s="41">
        <v>0</v>
      </c>
      <c r="U17" s="41">
        <v>0</v>
      </c>
      <c r="V17" s="41">
        <v>0</v>
      </c>
      <c r="W17" s="41">
        <v>0</v>
      </c>
      <c r="X17" s="41">
        <v>0</v>
      </c>
      <c r="Y17" s="41">
        <v>0</v>
      </c>
      <c r="Z17" s="41">
        <v>0</v>
      </c>
      <c r="AA17" s="41">
        <v>0</v>
      </c>
      <c r="AB17" s="41">
        <v>0</v>
      </c>
      <c r="AC17" s="41">
        <v>0</v>
      </c>
      <c r="AD17" s="41">
        <v>0</v>
      </c>
      <c r="AE17" s="41">
        <v>4</v>
      </c>
      <c r="AF17" s="41">
        <v>0.92500000000000004</v>
      </c>
      <c r="AG17" s="41">
        <v>3.7499999999999999E-2</v>
      </c>
      <c r="AH17" s="41">
        <v>1.2083333333333299</v>
      </c>
      <c r="AI17" s="41">
        <v>3.4000000000000002E-2</v>
      </c>
      <c r="AJ17" s="41">
        <v>3.6266666666667002E-2</v>
      </c>
      <c r="AK17" s="53">
        <f t="shared" si="0"/>
        <v>288.97182709394593</v>
      </c>
      <c r="AL17" s="43">
        <v>3.4672916666666997E-2</v>
      </c>
      <c r="AM17" s="43">
        <f>IF(ISBLANK(AT17),AL17*'ratio of flow'!$D$1,AT17)</f>
        <v>1.6E-2</v>
      </c>
      <c r="AN17" s="44" t="s">
        <v>52</v>
      </c>
      <c r="AO17" s="44" t="s">
        <v>53</v>
      </c>
      <c r="AP17" s="44" t="s">
        <v>53</v>
      </c>
      <c r="AQ17" s="44" t="s">
        <v>69</v>
      </c>
      <c r="AR17" s="45" t="s">
        <v>104</v>
      </c>
      <c r="AS17" s="45">
        <v>0.69905064267352202</v>
      </c>
      <c r="AT17" s="45">
        <v>1.6E-2</v>
      </c>
      <c r="AU17" s="45">
        <v>2.0099606259977001E-2</v>
      </c>
      <c r="AV17" s="45">
        <v>0.32600000000000001</v>
      </c>
      <c r="AW17" s="45">
        <v>1.17</v>
      </c>
      <c r="AX17" s="45">
        <v>8.0000000000000002E-3</v>
      </c>
      <c r="AY17" s="45">
        <v>4.9500000000000002E-2</v>
      </c>
      <c r="AZ17" s="45">
        <v>0.68500000000000005</v>
      </c>
      <c r="BA17" s="54">
        <v>3.09375</v>
      </c>
      <c r="BB17" s="54">
        <v>0.5</v>
      </c>
      <c r="BC17" s="41">
        <v>0.71724068663257901</v>
      </c>
      <c r="BD17" s="41">
        <v>1.17</v>
      </c>
      <c r="BE17" s="41">
        <v>0.7</v>
      </c>
      <c r="BF17" s="41">
        <v>0.38700000000000001</v>
      </c>
      <c r="BG17" s="41">
        <v>0.65581770833333297</v>
      </c>
      <c r="BH17" s="41">
        <v>1.0900000000000001</v>
      </c>
      <c r="BI17" s="41">
        <v>0.64900000000000002</v>
      </c>
      <c r="BJ17" s="41">
        <v>0.32600000000000001</v>
      </c>
      <c r="BK17" s="46">
        <f>IFERROR(VLOOKUP(AQ17,'Scoring and Weighting'!$B$10:$C$12,2,FALSE),'Scoring and Weighting'!$C$13)</f>
        <v>80</v>
      </c>
      <c r="BL17" s="46">
        <f>VLOOKUP(AM17,'Scoring and Weighting'!$C$19:$F$23,4)</f>
        <v>50</v>
      </c>
      <c r="BM17" s="47">
        <f t="shared" si="3"/>
        <v>50</v>
      </c>
      <c r="BN17" s="46">
        <f>IFERROR(VLOOKUP('Summary Table for Print'!AK17,'Scoring and Weighting'!$C$35:$F$39,4,1),30)</f>
        <v>70</v>
      </c>
      <c r="BO17" s="46">
        <f t="shared" si="2"/>
        <v>100</v>
      </c>
      <c r="BP17" s="47">
        <f>IFERROR(VLOOKUP(AN17,'Scoring and Weighting'!$B$63:$C$65,2,FALSE),1)</f>
        <v>1</v>
      </c>
      <c r="BQ17" s="49">
        <f>BK17*'Scoring and Weighting'!$C$55*'Summary Table for Print'!BP17</f>
        <v>20</v>
      </c>
      <c r="BR17" s="49">
        <f>BL17*BP17*'Scoring and Weighting'!$C$56</f>
        <v>12.5</v>
      </c>
      <c r="BS17" s="49">
        <f>BP17*BM17*'Scoring and Weighting'!$C$57</f>
        <v>12.5</v>
      </c>
      <c r="BT17" s="49">
        <f>BP17*BN17*'Scoring and Weighting'!$C$58</f>
        <v>7</v>
      </c>
      <c r="BU17" s="49">
        <f>BP17*BO17*'Scoring and Weighting'!$C$59</f>
        <v>15</v>
      </c>
      <c r="BV17" s="50">
        <f t="shared" si="4"/>
        <v>67</v>
      </c>
    </row>
    <row r="18" spans="1:74" x14ac:dyDescent="0.25">
      <c r="A18" s="41" t="s">
        <v>93</v>
      </c>
      <c r="B18" s="41"/>
      <c r="C18" s="41">
        <v>72</v>
      </c>
      <c r="D18" s="41"/>
      <c r="E18" s="41"/>
      <c r="F18" s="41">
        <v>266</v>
      </c>
      <c r="G18" s="41" t="s">
        <v>102</v>
      </c>
      <c r="H18" s="41">
        <v>1</v>
      </c>
      <c r="I18" s="41">
        <v>0</v>
      </c>
      <c r="J18" s="41" t="str">
        <f>VLOOKUP(A18,'Table with Jurisdictions'!$A$4:$Q$129,17,0)</f>
        <v>Multiple</v>
      </c>
      <c r="K18" s="41" t="s">
        <v>50</v>
      </c>
      <c r="L18" s="41"/>
      <c r="M18" s="119" t="s">
        <v>64</v>
      </c>
      <c r="N18" s="41">
        <v>27612.909569517</v>
      </c>
      <c r="O18" s="41">
        <v>25171179.6527461</v>
      </c>
      <c r="P18" s="42">
        <v>365.04194301242501</v>
      </c>
      <c r="Q18" s="41">
        <v>66</v>
      </c>
      <c r="R18" s="41">
        <v>55</v>
      </c>
      <c r="S18" s="41">
        <v>0</v>
      </c>
      <c r="T18" s="41">
        <v>0</v>
      </c>
      <c r="U18" s="41">
        <v>0</v>
      </c>
      <c r="V18" s="41">
        <v>0</v>
      </c>
      <c r="W18" s="41">
        <v>27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41">
        <v>0</v>
      </c>
      <c r="AD18" s="41">
        <v>73</v>
      </c>
      <c r="AE18" s="41">
        <v>2</v>
      </c>
      <c r="AF18" s="41">
        <v>0.92500000000000004</v>
      </c>
      <c r="AG18" s="41">
        <v>4.2500000000000003E-2</v>
      </c>
      <c r="AH18" s="41">
        <v>1.35</v>
      </c>
      <c r="AI18" s="41">
        <v>3.0345E-2</v>
      </c>
      <c r="AJ18" s="41">
        <v>6.3750000000000001E-2</v>
      </c>
      <c r="AK18" s="53">
        <f t="shared" si="0"/>
        <v>240.92768238820051</v>
      </c>
      <c r="AL18" s="43">
        <v>4.7047499999999999E-2</v>
      </c>
      <c r="AM18" s="43">
        <f>IF(ISBLANK(AT18),AL18*'ratio of flow'!$D$1,AT18)</f>
        <v>1.6E-2</v>
      </c>
      <c r="AN18" s="44"/>
      <c r="AO18" s="44"/>
      <c r="AP18" s="44"/>
      <c r="AQ18" s="44"/>
      <c r="AR18" s="45" t="s">
        <v>106</v>
      </c>
      <c r="AS18" s="45">
        <v>0.49433648609916903</v>
      </c>
      <c r="AT18" s="45">
        <v>1.6E-2</v>
      </c>
      <c r="AU18" s="45">
        <v>-1.145679928569E-2</v>
      </c>
      <c r="AV18" s="45">
        <v>0.36199999999999999</v>
      </c>
      <c r="AW18" s="45">
        <v>0.75700000000000001</v>
      </c>
      <c r="AX18" s="45">
        <v>1E-3</v>
      </c>
      <c r="AY18" s="45">
        <v>3.2000000000000001E-2</v>
      </c>
      <c r="AZ18" s="45">
        <v>0.504</v>
      </c>
      <c r="BA18" s="54">
        <v>2</v>
      </c>
      <c r="BB18" s="54">
        <v>6.25E-2</v>
      </c>
      <c r="BC18" s="41">
        <v>0.50131988928430204</v>
      </c>
      <c r="BD18" s="41">
        <v>0.68899999999999995</v>
      </c>
      <c r="BE18" s="41">
        <v>0.50700000000000001</v>
      </c>
      <c r="BF18" s="41">
        <v>0.36199999999999999</v>
      </c>
      <c r="BG18" s="41">
        <v>0.47593958333333303</v>
      </c>
      <c r="BH18" s="41">
        <v>0.75700000000000001</v>
      </c>
      <c r="BI18" s="41">
        <v>0.46700000000000003</v>
      </c>
      <c r="BJ18" s="41">
        <v>0.36599999999999999</v>
      </c>
      <c r="BK18" s="46">
        <f>IFERROR(VLOOKUP(AQ18,'Scoring and Weighting'!$B$10:$C$12,2,FALSE),'Scoring and Weighting'!$C$13)</f>
        <v>70</v>
      </c>
      <c r="BL18" s="46">
        <f>VLOOKUP(AM18,'Scoring and Weighting'!$C$19:$F$23,4)</f>
        <v>50</v>
      </c>
      <c r="BM18" s="47">
        <f t="shared" si="3"/>
        <v>6.25</v>
      </c>
      <c r="BN18" s="46">
        <f>IFERROR(VLOOKUP('Summary Table for Print'!AK18,'Scoring and Weighting'!$C$35:$F$39,4,1),30)</f>
        <v>70</v>
      </c>
      <c r="BO18" s="46">
        <f t="shared" si="2"/>
        <v>40</v>
      </c>
      <c r="BP18" s="47">
        <f>IFERROR(VLOOKUP(AN18,'Scoring and Weighting'!$B$63:$C$65,2,FALSE),1)</f>
        <v>1</v>
      </c>
      <c r="BQ18" s="49">
        <f>BK18*'Scoring and Weighting'!$C$55*'Summary Table for Print'!BP18</f>
        <v>17.5</v>
      </c>
      <c r="BR18" s="49">
        <f>BL18*BP18*'Scoring and Weighting'!$C$56</f>
        <v>12.5</v>
      </c>
      <c r="BS18" s="49">
        <f>BP18*BM18*'Scoring and Weighting'!$C$57</f>
        <v>1.5625</v>
      </c>
      <c r="BT18" s="49">
        <f>BP18*BN18*'Scoring and Weighting'!$C$58</f>
        <v>7</v>
      </c>
      <c r="BU18" s="49">
        <f>BP18*BO18*'Scoring and Weighting'!$C$59</f>
        <v>6</v>
      </c>
      <c r="BV18" s="50">
        <f t="shared" si="4"/>
        <v>44.5625</v>
      </c>
    </row>
    <row r="19" spans="1:74" x14ac:dyDescent="0.25">
      <c r="A19" s="41" t="s">
        <v>123</v>
      </c>
      <c r="B19" s="41" t="s">
        <v>108</v>
      </c>
      <c r="C19" s="41">
        <v>90</v>
      </c>
      <c r="D19" s="41"/>
      <c r="E19" s="41"/>
      <c r="F19" s="41">
        <v>691</v>
      </c>
      <c r="G19" s="41" t="s">
        <v>109</v>
      </c>
      <c r="H19" s="41">
        <v>1</v>
      </c>
      <c r="I19" s="41">
        <v>0</v>
      </c>
      <c r="J19" s="41" t="str">
        <f>VLOOKUP(A19,'Table with Jurisdictions'!$A$4:$Q$129,17,0)</f>
        <v>Multiple</v>
      </c>
      <c r="K19" s="41" t="s">
        <v>50</v>
      </c>
      <c r="L19" s="41"/>
      <c r="M19" s="119" t="s">
        <v>64</v>
      </c>
      <c r="N19" s="41">
        <v>31614.636778074499</v>
      </c>
      <c r="O19" s="41">
        <v>22011012.966371801</v>
      </c>
      <c r="P19" s="42">
        <v>856.42405256516099</v>
      </c>
      <c r="Q19" s="41">
        <v>24</v>
      </c>
      <c r="R19" s="41">
        <v>12</v>
      </c>
      <c r="S19" s="41">
        <v>0</v>
      </c>
      <c r="T19" s="41">
        <v>0</v>
      </c>
      <c r="U19" s="41">
        <v>0</v>
      </c>
      <c r="V19" s="41">
        <v>0</v>
      </c>
      <c r="W19" s="41">
        <v>0</v>
      </c>
      <c r="X19" s="41">
        <v>0</v>
      </c>
      <c r="Y19" s="41">
        <v>0</v>
      </c>
      <c r="Z19" s="41">
        <v>27</v>
      </c>
      <c r="AA19" s="41">
        <v>39</v>
      </c>
      <c r="AB19" s="41">
        <v>34</v>
      </c>
      <c r="AC19" s="41">
        <v>0</v>
      </c>
      <c r="AD19" s="41">
        <v>0</v>
      </c>
      <c r="AE19" s="41">
        <v>2</v>
      </c>
      <c r="AF19" s="41">
        <v>1.05</v>
      </c>
      <c r="AG19" s="41">
        <v>0.06</v>
      </c>
      <c r="AH19" s="41">
        <v>0.24620060790273601</v>
      </c>
      <c r="AI19" s="41">
        <v>4.3714285714289997E-3</v>
      </c>
      <c r="AJ19" s="41">
        <v>8.3010638297870004E-3</v>
      </c>
      <c r="AK19" s="53">
        <f t="shared" si="0"/>
        <v>205.54177261563862</v>
      </c>
      <c r="AL19" s="43">
        <v>6.3362462006080001E-3</v>
      </c>
      <c r="AM19" s="43">
        <f>IF(ISBLANK(AT19),AL19*'ratio of flow'!$D$1,AT19)</f>
        <v>1.6E-2</v>
      </c>
      <c r="AN19" s="44" t="s">
        <v>52</v>
      </c>
      <c r="AO19" s="44"/>
      <c r="AP19" s="44" t="s">
        <v>53</v>
      </c>
      <c r="AQ19" s="44" t="s">
        <v>54</v>
      </c>
      <c r="AR19" s="45" t="s">
        <v>111</v>
      </c>
      <c r="AS19" s="45">
        <v>0.205413955798361</v>
      </c>
      <c r="AT19" s="45">
        <v>1.6E-2</v>
      </c>
      <c r="AU19" s="45">
        <v>7.0170284888093001E-2</v>
      </c>
      <c r="AV19" s="45">
        <v>5.8000000000000003E-2</v>
      </c>
      <c r="AW19" s="45">
        <v>0.60899999999999999</v>
      </c>
      <c r="AX19" s="45">
        <v>3.0000000000000001E-3</v>
      </c>
      <c r="AY19" s="45">
        <v>7.5999999999999998E-2</v>
      </c>
      <c r="AZ19" s="45">
        <v>0.247</v>
      </c>
      <c r="BA19" s="54">
        <v>4.75</v>
      </c>
      <c r="BB19" s="54">
        <v>0.1875</v>
      </c>
      <c r="BC19" s="41">
        <v>0.21042295652173901</v>
      </c>
      <c r="BD19" s="41">
        <v>0.60899999999999999</v>
      </c>
      <c r="BE19" s="41">
        <v>0.193</v>
      </c>
      <c r="BF19" s="41">
        <v>5.8000000000000003E-2</v>
      </c>
      <c r="BG19" s="41">
        <v>0.19291319444444399</v>
      </c>
      <c r="BH19" s="41">
        <v>0.377</v>
      </c>
      <c r="BI19" s="41">
        <v>0.185</v>
      </c>
      <c r="BJ19" s="41">
        <v>6.6000000000000003E-2</v>
      </c>
      <c r="BK19" s="46">
        <f>IFERROR(VLOOKUP(AQ19,'Scoring and Weighting'!$B$10:$C$12,2,FALSE),'Scoring and Weighting'!$C$13)</f>
        <v>100</v>
      </c>
      <c r="BL19" s="46">
        <f>VLOOKUP(AM19,'Scoring and Weighting'!$C$19:$F$23,4)</f>
        <v>50</v>
      </c>
      <c r="BM19" s="47">
        <f t="shared" si="3"/>
        <v>18.75</v>
      </c>
      <c r="BN19" s="46">
        <f>IFERROR(VLOOKUP('Summary Table for Print'!AK19,'Scoring and Weighting'!$C$35:$F$39,4,1),30)</f>
        <v>50</v>
      </c>
      <c r="BO19" s="46">
        <f t="shared" si="2"/>
        <v>100</v>
      </c>
      <c r="BP19" s="47">
        <f>IFERROR(VLOOKUP(AN19,'Scoring and Weighting'!$B$63:$C$65,2,FALSE),1)</f>
        <v>1</v>
      </c>
      <c r="BQ19" s="49">
        <f>BK19*'Scoring and Weighting'!$C$55*'Summary Table for Print'!BP19</f>
        <v>25</v>
      </c>
      <c r="BR19" s="49">
        <f>BL19*BP19*'Scoring and Weighting'!$C$56</f>
        <v>12.5</v>
      </c>
      <c r="BS19" s="49">
        <f>BP19*BM19*'Scoring and Weighting'!$C$57</f>
        <v>4.6875</v>
      </c>
      <c r="BT19" s="49">
        <f>BP19*BN19*'Scoring and Weighting'!$C$58</f>
        <v>5</v>
      </c>
      <c r="BU19" s="49">
        <f>BP19*BO19*'Scoring and Weighting'!$C$59</f>
        <v>15</v>
      </c>
      <c r="BV19" s="50">
        <f t="shared" si="4"/>
        <v>62.1875</v>
      </c>
    </row>
    <row r="20" spans="1:74" x14ac:dyDescent="0.25">
      <c r="A20" s="41" t="s">
        <v>157</v>
      </c>
      <c r="B20" s="41" t="s">
        <v>113</v>
      </c>
      <c r="C20" s="41">
        <v>78</v>
      </c>
      <c r="D20" s="41"/>
      <c r="E20" s="41"/>
      <c r="F20" s="41">
        <v>316</v>
      </c>
      <c r="G20" s="41" t="s">
        <v>109</v>
      </c>
      <c r="H20" s="41">
        <v>1</v>
      </c>
      <c r="I20" s="41">
        <v>0</v>
      </c>
      <c r="J20" s="41" t="str">
        <f>VLOOKUP(A20,'Table with Jurisdictions'!$A$4:$Q$129,17,0)</f>
        <v>Laguna Niguel</v>
      </c>
      <c r="K20" s="41" t="s">
        <v>50</v>
      </c>
      <c r="L20" s="41"/>
      <c r="M20" s="119" t="s">
        <v>51</v>
      </c>
      <c r="N20" s="41">
        <v>24762.641737826401</v>
      </c>
      <c r="O20" s="41">
        <v>18434175.733324099</v>
      </c>
      <c r="P20" s="42">
        <v>222.46726523817301</v>
      </c>
      <c r="Q20" s="41">
        <v>98</v>
      </c>
      <c r="R20" s="41">
        <v>0</v>
      </c>
      <c r="S20" s="41">
        <v>2</v>
      </c>
      <c r="T20" s="41">
        <v>0</v>
      </c>
      <c r="U20" s="41">
        <v>0</v>
      </c>
      <c r="V20" s="41">
        <v>0</v>
      </c>
      <c r="W20" s="41">
        <v>98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C20" s="41">
        <v>0</v>
      </c>
      <c r="AD20" s="41">
        <v>0</v>
      </c>
      <c r="AE20" s="41">
        <v>3</v>
      </c>
      <c r="AF20" s="41">
        <v>0.8</v>
      </c>
      <c r="AG20" s="41">
        <v>6.3333333333333006E-2</v>
      </c>
      <c r="AH20" s="41">
        <v>1.7333333333333301</v>
      </c>
      <c r="AI20" s="41">
        <v>4.0800000000000003E-2</v>
      </c>
      <c r="AJ20" s="41">
        <v>0.12239999999999999</v>
      </c>
      <c r="AK20" s="53">
        <f t="shared" si="0"/>
        <v>218.01791993340953</v>
      </c>
      <c r="AL20" s="43">
        <v>7.3440000000000005E-2</v>
      </c>
      <c r="AM20" s="43">
        <f>IF(ISBLANK(AT20),AL20*'ratio of flow'!$D$1,AT20)</f>
        <v>2.1000000000000001E-2</v>
      </c>
      <c r="AN20" s="44" t="s">
        <v>52</v>
      </c>
      <c r="AO20" s="44" t="s">
        <v>53</v>
      </c>
      <c r="AP20" s="44" t="s">
        <v>53</v>
      </c>
      <c r="AQ20" s="44" t="s">
        <v>114</v>
      </c>
      <c r="AR20" s="45" t="s">
        <v>73</v>
      </c>
      <c r="AS20" s="45">
        <v>0.20561653759680201</v>
      </c>
      <c r="AT20" s="45">
        <v>2.1000000000000001E-2</v>
      </c>
      <c r="AU20" s="45">
        <v>1.2725326607402001E-2</v>
      </c>
      <c r="AV20" s="45">
        <v>8.5999999999999993E-2</v>
      </c>
      <c r="AW20" s="45">
        <v>0.41299999999999998</v>
      </c>
      <c r="AX20" s="45">
        <v>1.9E-2</v>
      </c>
      <c r="AY20" s="45">
        <v>2.3E-2</v>
      </c>
      <c r="AZ20" s="45">
        <v>0.17</v>
      </c>
      <c r="BA20" s="54">
        <v>1.095238095</v>
      </c>
      <c r="BB20" s="54">
        <v>0.90476190499999998</v>
      </c>
      <c r="BC20" s="41">
        <v>0.20531462644686099</v>
      </c>
      <c r="BD20" s="41">
        <v>0.41299999999999998</v>
      </c>
      <c r="BE20" s="41">
        <v>0.20300000000000001</v>
      </c>
      <c r="BF20" s="41">
        <v>0.105</v>
      </c>
      <c r="BG20" s="41">
        <v>0.206363715277778</v>
      </c>
      <c r="BH20" s="41">
        <v>0.41299999999999998</v>
      </c>
      <c r="BI20" s="41">
        <v>0.21099999999999999</v>
      </c>
      <c r="BJ20" s="41">
        <v>8.5999999999999993E-2</v>
      </c>
      <c r="BK20" s="46">
        <f>IFERROR(VLOOKUP(AQ20,'Scoring and Weighting'!$B$10:$C$12,2,FALSE),'Scoring and Weighting'!$C$13)</f>
        <v>60</v>
      </c>
      <c r="BL20" s="46">
        <f>VLOOKUP(AM20,'Scoring and Weighting'!$C$19:$F$23,4)</f>
        <v>50</v>
      </c>
      <c r="BM20" s="47">
        <f t="shared" si="3"/>
        <v>90.476190500000001</v>
      </c>
      <c r="BN20" s="46">
        <f>IFERROR(VLOOKUP('Summary Table for Print'!AK20,'Scoring and Weighting'!$C$35:$F$39,4,1),30)</f>
        <v>50</v>
      </c>
      <c r="BO20" s="46">
        <f t="shared" si="2"/>
        <v>100</v>
      </c>
      <c r="BP20" s="47">
        <f>IFERROR(VLOOKUP(AN20,'Scoring and Weighting'!$B$63:$C$65,2,FALSE),1)</f>
        <v>1</v>
      </c>
      <c r="BQ20" s="49">
        <f>BK20*'Scoring and Weighting'!$C$55*'Summary Table for Print'!BP20</f>
        <v>15</v>
      </c>
      <c r="BR20" s="49">
        <f>BL20*BP20*'Scoring and Weighting'!$C$56</f>
        <v>12.5</v>
      </c>
      <c r="BS20" s="49">
        <f>BP20*BM20*'Scoring and Weighting'!$C$57</f>
        <v>22.619047625</v>
      </c>
      <c r="BT20" s="49">
        <f>BP20*BN20*'Scoring and Weighting'!$C$58</f>
        <v>5</v>
      </c>
      <c r="BU20" s="49">
        <f>BP20*BO20*'Scoring and Weighting'!$C$59</f>
        <v>15</v>
      </c>
      <c r="BV20" s="50">
        <f t="shared" si="4"/>
        <v>70.119047625000007</v>
      </c>
    </row>
    <row r="21" spans="1:74" x14ac:dyDescent="0.25">
      <c r="A21" s="41" t="s">
        <v>71</v>
      </c>
      <c r="B21" s="41" t="s">
        <v>116</v>
      </c>
      <c r="C21" s="41">
        <v>60</v>
      </c>
      <c r="D21" s="41"/>
      <c r="E21" s="41"/>
      <c r="F21" s="41">
        <v>693</v>
      </c>
      <c r="G21" s="41" t="s">
        <v>109</v>
      </c>
      <c r="H21" s="41">
        <v>1</v>
      </c>
      <c r="I21" s="41">
        <v>0</v>
      </c>
      <c r="J21" s="41" t="str">
        <f>VLOOKUP(A21,'Table with Jurisdictions'!$A$4:$Q$129,17,0)</f>
        <v>Rancho Santa Margarita</v>
      </c>
      <c r="K21" s="41" t="s">
        <v>50</v>
      </c>
      <c r="L21" s="41"/>
      <c r="M21" s="119" t="s">
        <v>64</v>
      </c>
      <c r="N21" s="41">
        <v>22521.0708378569</v>
      </c>
      <c r="O21" s="41">
        <v>12188577.304100201</v>
      </c>
      <c r="P21" s="42">
        <v>228.030102778795</v>
      </c>
      <c r="Q21" s="41">
        <v>95</v>
      </c>
      <c r="R21" s="41">
        <v>86</v>
      </c>
      <c r="S21" s="41">
        <v>0</v>
      </c>
      <c r="T21" s="41">
        <v>0</v>
      </c>
      <c r="U21" s="41">
        <v>0</v>
      </c>
      <c r="V21" s="41">
        <v>0</v>
      </c>
      <c r="W21" s="41">
        <v>0</v>
      </c>
      <c r="X21" s="41">
        <v>0</v>
      </c>
      <c r="Y21" s="41">
        <v>0</v>
      </c>
      <c r="Z21" s="41">
        <v>0</v>
      </c>
      <c r="AA21" s="41">
        <v>0</v>
      </c>
      <c r="AB21" s="41">
        <v>100</v>
      </c>
      <c r="AC21" s="41">
        <v>0</v>
      </c>
      <c r="AD21" s="41">
        <v>0</v>
      </c>
      <c r="AE21" s="41">
        <v>2</v>
      </c>
      <c r="AF21" s="41">
        <v>0.97499999999999998</v>
      </c>
      <c r="AG21" s="41">
        <v>0.08</v>
      </c>
      <c r="AH21" s="41">
        <v>0.75</v>
      </c>
      <c r="AI21" s="41">
        <v>2.9006250000000001E-2</v>
      </c>
      <c r="AJ21" s="41">
        <v>7.4587500000000001E-2</v>
      </c>
      <c r="AK21" s="53">
        <f t="shared" si="0"/>
        <v>216.62859763985526</v>
      </c>
      <c r="AL21" s="43">
        <v>5.1796874999999999E-2</v>
      </c>
      <c r="AM21" s="43">
        <f>IF(ISBLANK(AT21),AL21*'ratio of flow'!$D$1,AT21)</f>
        <v>2.7E-2</v>
      </c>
      <c r="AN21" s="44" t="s">
        <v>52</v>
      </c>
      <c r="AO21" s="44" t="s">
        <v>53</v>
      </c>
      <c r="AP21" s="44" t="s">
        <v>53</v>
      </c>
      <c r="AQ21" s="44" t="s">
        <v>69</v>
      </c>
      <c r="AR21" s="45" t="s">
        <v>106</v>
      </c>
      <c r="AS21" s="45">
        <v>0.10218254420992599</v>
      </c>
      <c r="AT21" s="45">
        <v>2.7E-2</v>
      </c>
      <c r="AU21" s="45">
        <v>0.14858256199546699</v>
      </c>
      <c r="AV21" s="45">
        <v>6.0000000000000001E-3</v>
      </c>
      <c r="AW21" s="45">
        <v>0.48299999999999998</v>
      </c>
      <c r="AX21" s="45">
        <v>1.7999999999999999E-2</v>
      </c>
      <c r="AY21" s="45">
        <v>5.0999999999999997E-2</v>
      </c>
      <c r="AZ21" s="45">
        <v>3.5999999999999997E-2</v>
      </c>
      <c r="BA21" s="54">
        <v>1.888888889</v>
      </c>
      <c r="BB21" s="54">
        <v>0.66666666699999999</v>
      </c>
      <c r="BC21" s="41">
        <v>0.10593014128728399</v>
      </c>
      <c r="BD21" s="41">
        <v>0.48299999999999998</v>
      </c>
      <c r="BE21" s="41">
        <v>9.0999999999999998E-2</v>
      </c>
      <c r="BF21" s="41">
        <v>0.01</v>
      </c>
      <c r="BG21" s="41">
        <v>9.2215031315240004E-2</v>
      </c>
      <c r="BH21" s="41">
        <v>0.46</v>
      </c>
      <c r="BI21" s="41">
        <v>7.4999999999999997E-2</v>
      </c>
      <c r="BJ21" s="41">
        <v>6.0000000000000001E-3</v>
      </c>
      <c r="BK21" s="46">
        <f>IFERROR(VLOOKUP(AQ21,'Scoring and Weighting'!$B$10:$C$12,2,FALSE),'Scoring and Weighting'!$C$13)</f>
        <v>80</v>
      </c>
      <c r="BL21" s="46">
        <f>VLOOKUP(AM21,'Scoring and Weighting'!$C$19:$F$23,4)</f>
        <v>50</v>
      </c>
      <c r="BM21" s="47">
        <f t="shared" si="3"/>
        <v>66.666666699999993</v>
      </c>
      <c r="BN21" s="46">
        <f>IFERROR(VLOOKUP('Summary Table for Print'!AK21,'Scoring and Weighting'!$C$35:$F$39,4,1),30)</f>
        <v>50</v>
      </c>
      <c r="BO21" s="46">
        <f t="shared" si="2"/>
        <v>100</v>
      </c>
      <c r="BP21" s="47">
        <f>IFERROR(VLOOKUP(AN21,'Scoring and Weighting'!$B$63:$C$65,2,FALSE),1)</f>
        <v>1</v>
      </c>
      <c r="BQ21" s="49">
        <f>BK21*'Scoring and Weighting'!$C$55*'Summary Table for Print'!BP21</f>
        <v>20</v>
      </c>
      <c r="BR21" s="49">
        <f>BL21*BP21*'Scoring and Weighting'!$C$56</f>
        <v>12.5</v>
      </c>
      <c r="BS21" s="49">
        <f>BP21*BM21*'Scoring and Weighting'!$C$57</f>
        <v>16.666666674999998</v>
      </c>
      <c r="BT21" s="49">
        <f>BP21*BN21*'Scoring and Weighting'!$C$58</f>
        <v>5</v>
      </c>
      <c r="BU21" s="49">
        <f>BP21*BO21*'Scoring and Weighting'!$C$59</f>
        <v>15</v>
      </c>
      <c r="BV21" s="50">
        <f t="shared" si="4"/>
        <v>69.166666675000002</v>
      </c>
    </row>
    <row r="22" spans="1:74" x14ac:dyDescent="0.25">
      <c r="A22" s="41" t="s">
        <v>530</v>
      </c>
      <c r="B22" s="41" t="s">
        <v>118</v>
      </c>
      <c r="C22" s="41">
        <v>60</v>
      </c>
      <c r="D22" s="41"/>
      <c r="E22" s="41"/>
      <c r="F22" s="41">
        <v>662</v>
      </c>
      <c r="G22" s="41" t="s">
        <v>109</v>
      </c>
      <c r="H22" s="41">
        <v>1</v>
      </c>
      <c r="I22" s="41">
        <v>0</v>
      </c>
      <c r="J22" s="41" t="str">
        <f>VLOOKUP(A22,'Table with Jurisdictions'!$A$4:$Q$129,17,0)</f>
        <v>Laguna Niguel</v>
      </c>
      <c r="K22" s="41" t="s">
        <v>50</v>
      </c>
      <c r="L22" s="41"/>
      <c r="M22" s="119" t="s">
        <v>51</v>
      </c>
      <c r="N22" s="41">
        <v>31558.079220043601</v>
      </c>
      <c r="O22" s="41">
        <v>20345404.107941199</v>
      </c>
      <c r="P22" s="42">
        <v>232.090781711548</v>
      </c>
      <c r="Q22" s="41">
        <v>89</v>
      </c>
      <c r="R22" s="41">
        <v>86</v>
      </c>
      <c r="S22" s="41">
        <v>0</v>
      </c>
      <c r="T22" s="41">
        <v>0</v>
      </c>
      <c r="U22" s="41">
        <v>0</v>
      </c>
      <c r="V22" s="41">
        <v>0</v>
      </c>
      <c r="W22" s="41">
        <v>99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41">
        <v>0</v>
      </c>
      <c r="AD22" s="41">
        <v>1</v>
      </c>
      <c r="AE22" s="41">
        <v>2</v>
      </c>
      <c r="AF22" s="41">
        <v>1.05</v>
      </c>
      <c r="AG22" s="41">
        <v>0.78500000000000003</v>
      </c>
      <c r="AH22" s="41">
        <v>2.8571428571428501</v>
      </c>
      <c r="AI22" s="41">
        <v>0.12239999999999999</v>
      </c>
      <c r="AJ22" s="41">
        <v>4.59</v>
      </c>
      <c r="AK22" s="53">
        <f t="shared" si="0"/>
        <v>206.56079572327772</v>
      </c>
      <c r="AL22" s="43">
        <v>2.3561999999999999</v>
      </c>
      <c r="AM22" s="43">
        <f>IF(ISBLANK(AT22),AL22*'ratio of flow'!$D$1,AT22)</f>
        <v>3.5999999999999997E-2</v>
      </c>
      <c r="AN22" s="44" t="s">
        <v>110</v>
      </c>
      <c r="AO22" s="44" t="s">
        <v>53</v>
      </c>
      <c r="AP22" s="44" t="s">
        <v>53</v>
      </c>
      <c r="AQ22" s="44" t="s">
        <v>69</v>
      </c>
      <c r="AR22" s="45" t="s">
        <v>119</v>
      </c>
      <c r="AS22" s="45">
        <v>4.1715337423313001E-2</v>
      </c>
      <c r="AT22" s="45">
        <v>3.5999999999999997E-2</v>
      </c>
      <c r="AU22" s="45">
        <v>0.113036060944761</v>
      </c>
      <c r="AV22" s="45">
        <v>0</v>
      </c>
      <c r="AW22" s="45">
        <v>0.125</v>
      </c>
      <c r="AX22" s="45">
        <v>3.0000000000000001E-3</v>
      </c>
      <c r="AY22" s="45">
        <v>0.14099999999999999</v>
      </c>
      <c r="AZ22" s="45">
        <v>2.5000000000000001E-2</v>
      </c>
      <c r="BA22" s="54">
        <v>3.9166666669999999</v>
      </c>
      <c r="BB22" s="54">
        <v>8.3333332999999996E-2</v>
      </c>
      <c r="BC22" s="41">
        <v>4.5379565217390998E-2</v>
      </c>
      <c r="BD22" s="41">
        <v>0.125</v>
      </c>
      <c r="BE22" s="41">
        <v>0.04</v>
      </c>
      <c r="BF22" s="41">
        <v>0</v>
      </c>
      <c r="BG22" s="41">
        <v>3.2936458333333002E-2</v>
      </c>
      <c r="BH22" s="41">
        <v>0.1</v>
      </c>
      <c r="BI22" s="41">
        <v>3.2000000000000001E-2</v>
      </c>
      <c r="BJ22" s="41">
        <v>1.2999999999999999E-2</v>
      </c>
      <c r="BK22" s="46">
        <f>IFERROR(VLOOKUP(AQ22,'Scoring and Weighting'!$B$10:$C$12,2,FALSE),'Scoring and Weighting'!$C$13)</f>
        <v>80</v>
      </c>
      <c r="BL22" s="46">
        <f>VLOOKUP(AM22,'Scoring and Weighting'!$C$19:$F$23,4)</f>
        <v>50</v>
      </c>
      <c r="BM22" s="47">
        <f t="shared" si="3"/>
        <v>8.3333332999999996</v>
      </c>
      <c r="BN22" s="46">
        <f>IFERROR(VLOOKUP('Summary Table for Print'!AK22,'Scoring and Weighting'!$C$35:$F$39,4,1),30)</f>
        <v>50</v>
      </c>
      <c r="BO22" s="46">
        <f t="shared" si="2"/>
        <v>100</v>
      </c>
      <c r="BP22" s="47">
        <f>IFERROR(VLOOKUP(AN22,'Scoring and Weighting'!$B$63:$C$65,2,FALSE),1)</f>
        <v>0.5</v>
      </c>
      <c r="BQ22" s="49">
        <f>BK22*'Scoring and Weighting'!$C$55*'Summary Table for Print'!BP22</f>
        <v>10</v>
      </c>
      <c r="BR22" s="49">
        <f>BL22*BP22*'Scoring and Weighting'!$C$56</f>
        <v>6.25</v>
      </c>
      <c r="BS22" s="49">
        <f>BP22*BM22*'Scoring and Weighting'!$C$57</f>
        <v>1.0416666625</v>
      </c>
      <c r="BT22" s="49">
        <f>BP22*BN22*'Scoring and Weighting'!$C$58</f>
        <v>2.5</v>
      </c>
      <c r="BU22" s="49">
        <f>BP22*BO22*'Scoring and Weighting'!$C$59</f>
        <v>7.5</v>
      </c>
      <c r="BV22" s="50">
        <f t="shared" si="4"/>
        <v>27.291666662499999</v>
      </c>
    </row>
    <row r="23" spans="1:74" x14ac:dyDescent="0.25">
      <c r="A23" s="41" t="s">
        <v>117</v>
      </c>
      <c r="B23" s="41"/>
      <c r="C23" s="41">
        <v>96</v>
      </c>
      <c r="D23" s="41"/>
      <c r="E23" s="41"/>
      <c r="F23" s="41">
        <v>214</v>
      </c>
      <c r="G23" s="41" t="s">
        <v>109</v>
      </c>
      <c r="H23" s="41">
        <v>1</v>
      </c>
      <c r="I23" s="41">
        <v>0</v>
      </c>
      <c r="J23" s="41" t="str">
        <f>VLOOKUP(A23,'Table with Jurisdictions'!$A$4:$Q$129,17,0)</f>
        <v>Mission Viejo</v>
      </c>
      <c r="K23" s="41" t="s">
        <v>50</v>
      </c>
      <c r="L23" s="41"/>
      <c r="M23" s="119" t="s">
        <v>64</v>
      </c>
      <c r="N23" s="41">
        <v>90540.027556572895</v>
      </c>
      <c r="O23" s="41">
        <v>97441155.754639506</v>
      </c>
      <c r="P23" s="42">
        <v>467.067665369812</v>
      </c>
      <c r="Q23" s="41">
        <v>67</v>
      </c>
      <c r="R23" s="41">
        <v>63</v>
      </c>
      <c r="S23" s="41">
        <v>0</v>
      </c>
      <c r="T23" s="41">
        <v>0</v>
      </c>
      <c r="U23" s="41">
        <v>0</v>
      </c>
      <c r="V23" s="41">
        <v>0</v>
      </c>
      <c r="W23" s="41">
        <v>0</v>
      </c>
      <c r="X23" s="41">
        <v>0</v>
      </c>
      <c r="Y23" s="41">
        <v>0</v>
      </c>
      <c r="Z23" s="41">
        <v>100</v>
      </c>
      <c r="AA23" s="41">
        <v>0</v>
      </c>
      <c r="AB23" s="41">
        <v>0</v>
      </c>
      <c r="AC23" s="41">
        <v>0</v>
      </c>
      <c r="AD23" s="41">
        <v>0</v>
      </c>
      <c r="AE23" s="41">
        <v>2</v>
      </c>
      <c r="AF23" s="41">
        <v>0.95</v>
      </c>
      <c r="AG23" s="41">
        <v>0.05</v>
      </c>
      <c r="AH23" s="41">
        <v>1.6875</v>
      </c>
      <c r="AI23" s="41">
        <v>5.7375000000000002E-2</v>
      </c>
      <c r="AJ23" s="41">
        <v>7.6499999999999999E-2</v>
      </c>
      <c r="AK23" s="53">
        <f t="shared" si="0"/>
        <v>312.93533579777409</v>
      </c>
      <c r="AL23" s="43">
        <v>6.6937499999999997E-2</v>
      </c>
      <c r="AM23" s="43">
        <f>IF(ISBLANK(AT23),AL23*'ratio of flow'!$D$1,AT23)</f>
        <v>3.6999999999999998E-2</v>
      </c>
      <c r="AN23" s="44" t="s">
        <v>52</v>
      </c>
      <c r="AO23" s="44"/>
      <c r="AP23" s="44" t="s">
        <v>53</v>
      </c>
      <c r="AQ23" s="44" t="s">
        <v>54</v>
      </c>
      <c r="AR23" s="45" t="s">
        <v>119</v>
      </c>
      <c r="AS23" s="45">
        <v>0.25687063033305801</v>
      </c>
      <c r="AT23" s="45">
        <v>3.6999999999999998E-2</v>
      </c>
      <c r="AU23" s="45">
        <v>2.2854424133449E-2</v>
      </c>
      <c r="AV23" s="45">
        <v>0.105</v>
      </c>
      <c r="AW23" s="45">
        <v>0.47099999999999997</v>
      </c>
      <c r="AX23" s="45">
        <v>1.4999999999999999E-2</v>
      </c>
      <c r="AY23" s="45">
        <v>9.1999999999999998E-2</v>
      </c>
      <c r="AZ23" s="45">
        <v>0.188</v>
      </c>
      <c r="BA23" s="54">
        <v>2.486486486</v>
      </c>
      <c r="BB23" s="54">
        <v>0.405405405</v>
      </c>
      <c r="BC23" s="41">
        <v>0.26672852983988399</v>
      </c>
      <c r="BD23" s="41">
        <v>0.47099999999999997</v>
      </c>
      <c r="BE23" s="41">
        <v>0.26400000000000001</v>
      </c>
      <c r="BF23" s="41">
        <v>0.155</v>
      </c>
      <c r="BG23" s="41">
        <v>0.22626101694915299</v>
      </c>
      <c r="BH23" s="41">
        <v>0.433</v>
      </c>
      <c r="BI23" s="41">
        <v>0.224</v>
      </c>
      <c r="BJ23" s="41">
        <v>0.105</v>
      </c>
      <c r="BK23" s="46">
        <f>IFERROR(VLOOKUP(AQ23,'Scoring and Weighting'!$B$10:$C$12,2,FALSE),'Scoring and Weighting'!$C$13)</f>
        <v>100</v>
      </c>
      <c r="BL23" s="46">
        <f>VLOOKUP(AM23,'Scoring and Weighting'!$C$19:$F$23,4)</f>
        <v>50</v>
      </c>
      <c r="BM23" s="47">
        <f t="shared" si="3"/>
        <v>40.540540499999999</v>
      </c>
      <c r="BN23" s="46">
        <f>IFERROR(VLOOKUP('Summary Table for Print'!AK23,'Scoring and Weighting'!$C$35:$F$39,4,1),30)</f>
        <v>70</v>
      </c>
      <c r="BO23" s="46">
        <f t="shared" si="2"/>
        <v>100</v>
      </c>
      <c r="BP23" s="47">
        <f>IFERROR(VLOOKUP(AN23,'Scoring and Weighting'!$B$63:$C$65,2,FALSE),1)</f>
        <v>1</v>
      </c>
      <c r="BQ23" s="49">
        <f>BK23*'Scoring and Weighting'!$C$55*'Summary Table for Print'!BP23</f>
        <v>25</v>
      </c>
      <c r="BR23" s="49">
        <f>BL23*BP23*'Scoring and Weighting'!$C$56</f>
        <v>12.5</v>
      </c>
      <c r="BS23" s="49">
        <f>BP23*BM23*'Scoring and Weighting'!$C$57</f>
        <v>10.135135125</v>
      </c>
      <c r="BT23" s="49">
        <f>BP23*BN23*'Scoring and Weighting'!$C$58</f>
        <v>7</v>
      </c>
      <c r="BU23" s="49">
        <f>BP23*BO23*'Scoring and Weighting'!$C$59</f>
        <v>15</v>
      </c>
      <c r="BV23" s="50">
        <f t="shared" si="4"/>
        <v>69.635135125000005</v>
      </c>
    </row>
    <row r="24" spans="1:74" x14ac:dyDescent="0.25">
      <c r="A24" s="41" t="s">
        <v>127</v>
      </c>
      <c r="B24" s="41"/>
      <c r="C24" s="41">
        <v>108</v>
      </c>
      <c r="D24" s="41"/>
      <c r="E24" s="41"/>
      <c r="F24" s="41">
        <v>73</v>
      </c>
      <c r="G24" s="41" t="s">
        <v>109</v>
      </c>
      <c r="H24" s="41">
        <v>1</v>
      </c>
      <c r="I24" s="41">
        <v>0</v>
      </c>
      <c r="J24" s="41" t="str">
        <f>VLOOKUP(A24,'Table with Jurisdictions'!$A$4:$Q$129,17,0)</f>
        <v>Mission Viejo</v>
      </c>
      <c r="K24" s="41" t="s">
        <v>50</v>
      </c>
      <c r="L24" s="41"/>
      <c r="M24" s="119" t="s">
        <v>64</v>
      </c>
      <c r="N24" s="41">
        <v>48405.067521432698</v>
      </c>
      <c r="O24" s="41">
        <v>49638756.008291103</v>
      </c>
      <c r="P24" s="42">
        <v>210.54842175444401</v>
      </c>
      <c r="Q24" s="41">
        <v>91</v>
      </c>
      <c r="R24" s="41">
        <v>37</v>
      </c>
      <c r="S24" s="41">
        <v>0</v>
      </c>
      <c r="T24" s="41">
        <v>0</v>
      </c>
      <c r="U24" s="41">
        <v>0</v>
      </c>
      <c r="V24" s="41">
        <v>0</v>
      </c>
      <c r="W24" s="41">
        <v>10</v>
      </c>
      <c r="X24" s="41">
        <v>0</v>
      </c>
      <c r="Y24" s="41">
        <v>0</v>
      </c>
      <c r="Z24" s="41">
        <v>90</v>
      </c>
      <c r="AA24" s="41">
        <v>0</v>
      </c>
      <c r="AB24" s="41">
        <v>0</v>
      </c>
      <c r="AC24" s="41">
        <v>0</v>
      </c>
      <c r="AD24" s="41">
        <v>0</v>
      </c>
      <c r="AE24" s="41">
        <v>3</v>
      </c>
      <c r="AF24" s="41">
        <v>1.31666666666666</v>
      </c>
      <c r="AG24" s="41">
        <v>6.3333333333333006E-2</v>
      </c>
      <c r="AH24" s="41">
        <v>1.0249999999999999</v>
      </c>
      <c r="AI24" s="41">
        <v>4.335E-2</v>
      </c>
      <c r="AJ24" s="41">
        <v>7.3440000000000005E-2</v>
      </c>
      <c r="AK24" s="53">
        <f t="shared" si="0"/>
        <v>191.59906379654404</v>
      </c>
      <c r="AL24" s="43">
        <v>6.1242499999999998E-2</v>
      </c>
      <c r="AM24" s="43">
        <f>IF(ISBLANK(AT24),AL24*'ratio of flow'!$D$1,AT24)</f>
        <v>3.7999999999999999E-2</v>
      </c>
      <c r="AN24" s="44" t="s">
        <v>52</v>
      </c>
      <c r="AO24" s="44" t="s">
        <v>53</v>
      </c>
      <c r="AP24" s="44" t="s">
        <v>53</v>
      </c>
      <c r="AQ24" s="44" t="s">
        <v>69</v>
      </c>
      <c r="AR24" s="45" t="s">
        <v>122</v>
      </c>
      <c r="AS24" s="45">
        <v>0.106956477475185</v>
      </c>
      <c r="AT24" s="45">
        <v>3.7999999999999999E-2</v>
      </c>
      <c r="AU24" s="45">
        <v>8.3739458204039996E-2</v>
      </c>
      <c r="AV24" s="45">
        <v>3.1E-2</v>
      </c>
      <c r="AW24" s="45">
        <v>0.58799999999999997</v>
      </c>
      <c r="AX24" s="45">
        <v>7.0000000000000001E-3</v>
      </c>
      <c r="AY24" s="45">
        <v>0.17699999999999999</v>
      </c>
      <c r="AZ24" s="45">
        <v>8.8999999999999996E-2</v>
      </c>
      <c r="BA24" s="54">
        <v>4.6578947370000003</v>
      </c>
      <c r="BB24" s="54">
        <v>0.18421052600000001</v>
      </c>
      <c r="BC24" s="41">
        <v>0.106457688152683</v>
      </c>
      <c r="BD24" s="41">
        <v>0.58799999999999997</v>
      </c>
      <c r="BE24" s="41">
        <v>9.9000000000000005E-2</v>
      </c>
      <c r="BF24" s="41">
        <v>4.4999999999999998E-2</v>
      </c>
      <c r="BG24" s="41">
        <v>0.108158854166667</v>
      </c>
      <c r="BH24" s="41">
        <v>0.30399999999999999</v>
      </c>
      <c r="BI24" s="41">
        <v>9.7000000000000003E-2</v>
      </c>
      <c r="BJ24" s="41">
        <v>3.1E-2</v>
      </c>
      <c r="BK24" s="46">
        <f>IFERROR(VLOOKUP(AQ24,'Scoring and Weighting'!$B$10:$C$12,2,FALSE),'Scoring and Weighting'!$C$13)</f>
        <v>80</v>
      </c>
      <c r="BL24" s="46">
        <f>VLOOKUP(AM24,'Scoring and Weighting'!$C$19:$F$23,4)</f>
        <v>50</v>
      </c>
      <c r="BM24" s="47">
        <f t="shared" si="3"/>
        <v>18.421052600000003</v>
      </c>
      <c r="BN24" s="46">
        <f>IFERROR(VLOOKUP('Summary Table for Print'!AK24,'Scoring and Weighting'!$C$35:$F$39,4,1),30)</f>
        <v>50</v>
      </c>
      <c r="BO24" s="46">
        <f t="shared" si="2"/>
        <v>100</v>
      </c>
      <c r="BP24" s="47">
        <f>IFERROR(VLOOKUP(AN24,'Scoring and Weighting'!$B$63:$C$65,2,FALSE),1)</f>
        <v>1</v>
      </c>
      <c r="BQ24" s="49">
        <f>BK24*'Scoring and Weighting'!$C$55*'Summary Table for Print'!BP24</f>
        <v>20</v>
      </c>
      <c r="BR24" s="49">
        <f>BL24*BP24*'Scoring and Weighting'!$C$56</f>
        <v>12.5</v>
      </c>
      <c r="BS24" s="49">
        <f>BP24*BM24*'Scoring and Weighting'!$C$57</f>
        <v>4.6052631500000007</v>
      </c>
      <c r="BT24" s="49">
        <f>BP24*BN24*'Scoring and Weighting'!$C$58</f>
        <v>5</v>
      </c>
      <c r="BU24" s="49">
        <f>BP24*BO24*'Scoring and Weighting'!$C$59</f>
        <v>15</v>
      </c>
      <c r="BV24" s="50">
        <f t="shared" si="4"/>
        <v>57.105263149999999</v>
      </c>
    </row>
    <row r="25" spans="1:74" x14ac:dyDescent="0.25">
      <c r="A25" s="41" t="s">
        <v>242</v>
      </c>
      <c r="B25" s="41"/>
      <c r="C25" s="41">
        <v>84</v>
      </c>
      <c r="D25" s="41"/>
      <c r="E25" s="41"/>
      <c r="F25" s="41">
        <v>141</v>
      </c>
      <c r="G25" s="41" t="s">
        <v>109</v>
      </c>
      <c r="H25" s="41">
        <v>1</v>
      </c>
      <c r="I25" s="41">
        <v>0</v>
      </c>
      <c r="J25" s="41" t="str">
        <f>VLOOKUP(A25,'Table with Jurisdictions'!$A$4:$Q$129,17,0)</f>
        <v>Multiple</v>
      </c>
      <c r="K25" s="41" t="s">
        <v>50</v>
      </c>
      <c r="L25" s="41"/>
      <c r="M25" s="119" t="s">
        <v>180</v>
      </c>
      <c r="N25" s="41">
        <v>38367.529706358</v>
      </c>
      <c r="O25" s="41">
        <v>37305715.486433402</v>
      </c>
      <c r="P25" s="42">
        <v>3757.0685300110699</v>
      </c>
      <c r="Q25" s="41">
        <v>47</v>
      </c>
      <c r="R25" s="41">
        <v>33</v>
      </c>
      <c r="S25" s="41">
        <v>0</v>
      </c>
      <c r="T25" s="41">
        <v>0</v>
      </c>
      <c r="U25" s="41">
        <v>0</v>
      </c>
      <c r="V25" s="41">
        <v>0</v>
      </c>
      <c r="W25" s="41">
        <v>0</v>
      </c>
      <c r="X25" s="41">
        <v>0</v>
      </c>
      <c r="Y25" s="41">
        <v>0</v>
      </c>
      <c r="Z25" s="41">
        <v>0</v>
      </c>
      <c r="AA25" s="41">
        <v>17</v>
      </c>
      <c r="AB25" s="41">
        <v>0</v>
      </c>
      <c r="AC25" s="41">
        <v>62</v>
      </c>
      <c r="AD25" s="41">
        <v>21</v>
      </c>
      <c r="AE25" s="41">
        <v>2</v>
      </c>
      <c r="AF25" s="41">
        <v>0.8</v>
      </c>
      <c r="AG25" s="41">
        <v>3.2500000000000001E-2</v>
      </c>
      <c r="AH25" s="41">
        <v>1.125</v>
      </c>
      <c r="AI25" s="41">
        <v>1.115625E-2</v>
      </c>
      <c r="AJ25" s="41">
        <v>4.5900000000000003E-2</v>
      </c>
      <c r="AK25" s="53">
        <f t="shared" si="0"/>
        <v>1765.822209105203</v>
      </c>
      <c r="AL25" s="43">
        <v>2.8528125000000001E-2</v>
      </c>
      <c r="AM25" s="43">
        <f>IF(ISBLANK(AT25),AL25*'ratio of flow'!$D$1,AT25)</f>
        <v>4.2999999999999997E-2</v>
      </c>
      <c r="AN25" s="44"/>
      <c r="AO25" s="44"/>
      <c r="AP25" s="44"/>
      <c r="AQ25" s="44"/>
      <c r="AR25" s="45" t="s">
        <v>124</v>
      </c>
      <c r="AS25" s="45">
        <v>2.0824537354352E-2</v>
      </c>
      <c r="AT25" s="45">
        <v>4.2999999999999997E-2</v>
      </c>
      <c r="AU25" s="45">
        <v>0.23167560807030199</v>
      </c>
      <c r="AV25" s="45">
        <v>0</v>
      </c>
      <c r="AW25" s="45">
        <v>0.254</v>
      </c>
      <c r="AX25" s="45">
        <v>1.9E-2</v>
      </c>
      <c r="AY25" s="45">
        <v>8.7499999999999994E-2</v>
      </c>
      <c r="AZ25" s="45">
        <v>1.0999999999999999E-2</v>
      </c>
      <c r="BA25" s="54">
        <v>2.0348837209999999</v>
      </c>
      <c r="BB25" s="54">
        <v>0.44186046499999998</v>
      </c>
      <c r="BC25" s="41">
        <v>2.0912665985700001E-2</v>
      </c>
      <c r="BD25" s="41">
        <v>0.254</v>
      </c>
      <c r="BE25" s="41">
        <v>1.6E-2</v>
      </c>
      <c r="BF25" s="41">
        <v>0</v>
      </c>
      <c r="BG25" s="41">
        <v>2.0644791666666999E-2</v>
      </c>
      <c r="BH25" s="41">
        <v>0.158</v>
      </c>
      <c r="BI25" s="41">
        <v>1.7999999999999999E-2</v>
      </c>
      <c r="BJ25" s="41">
        <v>0</v>
      </c>
      <c r="BK25" s="46">
        <f>IFERROR(VLOOKUP(AQ25,'Scoring and Weighting'!$B$10:$C$12,2,FALSE),'Scoring and Weighting'!$C$13)</f>
        <v>70</v>
      </c>
      <c r="BL25" s="46">
        <f>VLOOKUP(AM25,'Scoring and Weighting'!$C$19:$F$23,4)</f>
        <v>50</v>
      </c>
      <c r="BM25" s="47">
        <f t="shared" si="3"/>
        <v>44.186046499999996</v>
      </c>
      <c r="BN25" s="46">
        <f>IFERROR(VLOOKUP('Summary Table for Print'!AK25,'Scoring and Weighting'!$C$35:$F$39,4,1),30)</f>
        <v>100</v>
      </c>
      <c r="BO25" s="46">
        <f t="shared" si="2"/>
        <v>40</v>
      </c>
      <c r="BP25" s="47">
        <f>IFERROR(VLOOKUP(AN25,'Scoring and Weighting'!$B$63:$C$65,2,FALSE),1)</f>
        <v>1</v>
      </c>
      <c r="BQ25" s="49">
        <f>BK25*'Scoring and Weighting'!$C$55*'Summary Table for Print'!BP25</f>
        <v>17.5</v>
      </c>
      <c r="BR25" s="49">
        <f>BL25*BP25*'Scoring and Weighting'!$C$56</f>
        <v>12.5</v>
      </c>
      <c r="BS25" s="49">
        <f>BP25*BM25*'Scoring and Weighting'!$C$57</f>
        <v>11.046511624999999</v>
      </c>
      <c r="BT25" s="49">
        <f>BP25*BN25*'Scoring and Weighting'!$C$58</f>
        <v>10</v>
      </c>
      <c r="BU25" s="49">
        <f>BP25*BO25*'Scoring and Weighting'!$C$59</f>
        <v>6</v>
      </c>
      <c r="BV25" s="50">
        <f t="shared" si="4"/>
        <v>57.046511625000001</v>
      </c>
    </row>
    <row r="26" spans="1:74" x14ac:dyDescent="0.25">
      <c r="A26" s="41" t="s">
        <v>60</v>
      </c>
      <c r="B26" s="41"/>
      <c r="C26" s="41">
        <v>42</v>
      </c>
      <c r="D26" s="41"/>
      <c r="E26" s="41"/>
      <c r="F26" s="41">
        <v>9082</v>
      </c>
      <c r="G26" s="41" t="s">
        <v>49</v>
      </c>
      <c r="H26" s="41">
        <v>1</v>
      </c>
      <c r="I26" s="41">
        <v>0</v>
      </c>
      <c r="J26" s="41" t="str">
        <f>VLOOKUP(A26,'Table with Jurisdictions'!$A$4:$Q$129,17,0)</f>
        <v>Multiple</v>
      </c>
      <c r="K26" s="41" t="s">
        <v>50</v>
      </c>
      <c r="L26" s="41"/>
      <c r="M26" s="119" t="s">
        <v>64</v>
      </c>
      <c r="N26" s="41">
        <v>10619.0299810373</v>
      </c>
      <c r="O26" s="41">
        <v>5430205.8138061604</v>
      </c>
      <c r="P26" s="42">
        <v>368.62703192340501</v>
      </c>
      <c r="Q26" s="41">
        <v>88</v>
      </c>
      <c r="R26" s="41">
        <v>87</v>
      </c>
      <c r="S26" s="41">
        <v>0</v>
      </c>
      <c r="T26" s="41">
        <v>0</v>
      </c>
      <c r="U26" s="41">
        <v>0</v>
      </c>
      <c r="V26" s="41">
        <v>0</v>
      </c>
      <c r="W26" s="41">
        <v>0</v>
      </c>
      <c r="X26" s="41">
        <v>0</v>
      </c>
      <c r="Y26" s="41">
        <v>0</v>
      </c>
      <c r="Z26" s="41">
        <v>33</v>
      </c>
      <c r="AA26" s="41">
        <v>0</v>
      </c>
      <c r="AB26" s="41">
        <v>67</v>
      </c>
      <c r="AC26" s="41">
        <v>0</v>
      </c>
      <c r="AD26" s="41">
        <v>0</v>
      </c>
      <c r="AE26" s="41">
        <v>1</v>
      </c>
      <c r="AF26" s="41">
        <v>1.54</v>
      </c>
      <c r="AG26" s="41">
        <v>0.06</v>
      </c>
      <c r="AH26" s="41">
        <v>1</v>
      </c>
      <c r="AI26" s="41">
        <v>7.8539999999999999E-2</v>
      </c>
      <c r="AJ26" s="41">
        <v>7.8539999999999999E-2</v>
      </c>
      <c r="AK26" s="53">
        <f t="shared" si="0"/>
        <v>324.39178809259641</v>
      </c>
      <c r="AL26" s="43">
        <v>7.8539999999999999E-2</v>
      </c>
      <c r="AM26" s="43">
        <f>IF(ISBLANK(AT26),AL26*'ratio of flow'!$D$1,AT26)</f>
        <v>0.05</v>
      </c>
      <c r="AN26" s="44"/>
      <c r="AO26" s="44"/>
      <c r="AP26" s="44"/>
      <c r="AQ26" s="44"/>
      <c r="AR26" s="45" t="s">
        <v>79</v>
      </c>
      <c r="AS26" s="45">
        <v>8.4742391564820007E-3</v>
      </c>
      <c r="AT26" s="45">
        <v>0.05</v>
      </c>
      <c r="AU26" s="45">
        <v>0.173967140796878</v>
      </c>
      <c r="AV26" s="45">
        <v>0</v>
      </c>
      <c r="AW26" s="45">
        <v>5.5E-2</v>
      </c>
      <c r="AX26" s="45">
        <v>1.2999999999999999E-2</v>
      </c>
      <c r="AY26" s="45">
        <v>0.11899999999999999</v>
      </c>
      <c r="AZ26" s="45">
        <v>5.0000000000000001E-3</v>
      </c>
      <c r="BA26" s="54">
        <v>2.38</v>
      </c>
      <c r="BB26" s="54">
        <v>0.26</v>
      </c>
      <c r="BC26" s="41">
        <v>8.6372062231049995E-3</v>
      </c>
      <c r="BD26" s="41">
        <v>5.5E-2</v>
      </c>
      <c r="BE26" s="41">
        <v>7.0000000000000001E-3</v>
      </c>
      <c r="BF26" s="41">
        <v>0</v>
      </c>
      <c r="BG26" s="41">
        <v>8.0468750000000002E-3</v>
      </c>
      <c r="BH26" s="41">
        <v>4.1000000000000002E-2</v>
      </c>
      <c r="BI26" s="41">
        <v>7.0000000000000001E-3</v>
      </c>
      <c r="BJ26" s="41">
        <v>0</v>
      </c>
      <c r="BK26" s="46">
        <f>IFERROR(VLOOKUP(AQ26,'Scoring and Weighting'!$B$10:$C$12,2,FALSE),'Scoring and Weighting'!$C$13)</f>
        <v>70</v>
      </c>
      <c r="BL26" s="46">
        <f>VLOOKUP(AM26,'Scoring and Weighting'!$C$19:$F$23,4)</f>
        <v>70</v>
      </c>
      <c r="BM26" s="47">
        <f t="shared" si="3"/>
        <v>26</v>
      </c>
      <c r="BN26" s="46">
        <f>IFERROR(VLOOKUP('Summary Table for Print'!AK26,'Scoring and Weighting'!$C$35:$F$39,4,1),30)</f>
        <v>70</v>
      </c>
      <c r="BO26" s="46">
        <f t="shared" si="2"/>
        <v>20</v>
      </c>
      <c r="BP26" s="47">
        <f>IFERROR(VLOOKUP(AN26,'Scoring and Weighting'!$B$63:$C$65,2,FALSE),1)</f>
        <v>1</v>
      </c>
      <c r="BQ26" s="49">
        <f>BK26*'Scoring and Weighting'!$C$55*'Summary Table for Print'!BP26</f>
        <v>17.5</v>
      </c>
      <c r="BR26" s="49">
        <f>BL26*BP26*'Scoring and Weighting'!$C$56</f>
        <v>17.5</v>
      </c>
      <c r="BS26" s="49">
        <f>BP26*BM26*'Scoring and Weighting'!$C$57</f>
        <v>6.5</v>
      </c>
      <c r="BT26" s="49">
        <f>BP26*BN26*'Scoring and Weighting'!$C$58</f>
        <v>7</v>
      </c>
      <c r="BU26" s="49">
        <f>BP26*BO26*'Scoring and Weighting'!$C$59</f>
        <v>3</v>
      </c>
      <c r="BV26" s="50">
        <f t="shared" si="4"/>
        <v>51.5</v>
      </c>
    </row>
    <row r="27" spans="1:74" x14ac:dyDescent="0.25">
      <c r="A27" s="41" t="s">
        <v>212</v>
      </c>
      <c r="B27" s="41"/>
      <c r="C27" s="41">
        <v>102</v>
      </c>
      <c r="D27" s="41"/>
      <c r="E27" s="41"/>
      <c r="F27" s="41">
        <v>9362</v>
      </c>
      <c r="G27" s="41" t="s">
        <v>75</v>
      </c>
      <c r="H27" s="41">
        <v>1</v>
      </c>
      <c r="I27" s="41">
        <v>0</v>
      </c>
      <c r="J27" s="41" t="str">
        <f>VLOOKUP(A27,'Table with Jurisdictions'!$A$4:$Q$129,17,0)</f>
        <v>San Clemente</v>
      </c>
      <c r="K27" s="41" t="s">
        <v>50</v>
      </c>
      <c r="L27" s="41"/>
      <c r="M27" s="119" t="s">
        <v>180</v>
      </c>
      <c r="N27" s="41">
        <v>53480.146528365702</v>
      </c>
      <c r="O27" s="41">
        <v>59196619.219461299</v>
      </c>
      <c r="P27" s="42">
        <v>372.59706312501299</v>
      </c>
      <c r="Q27" s="41">
        <v>50</v>
      </c>
      <c r="R27" s="41">
        <v>48</v>
      </c>
      <c r="S27" s="41">
        <v>0</v>
      </c>
      <c r="T27" s="41">
        <v>0</v>
      </c>
      <c r="U27" s="41">
        <v>0</v>
      </c>
      <c r="V27" s="41">
        <v>0</v>
      </c>
      <c r="W27" s="41">
        <v>0</v>
      </c>
      <c r="X27" s="41">
        <v>0</v>
      </c>
      <c r="Y27" s="41">
        <v>0</v>
      </c>
      <c r="Z27" s="41">
        <v>0</v>
      </c>
      <c r="AA27" s="41">
        <v>0</v>
      </c>
      <c r="AB27" s="41">
        <v>0</v>
      </c>
      <c r="AC27" s="41">
        <v>100</v>
      </c>
      <c r="AD27" s="41">
        <v>0</v>
      </c>
      <c r="AE27" s="41">
        <v>2</v>
      </c>
      <c r="AF27" s="41">
        <v>0.6</v>
      </c>
      <c r="AG27" s="41">
        <v>3.7499999999999999E-2</v>
      </c>
      <c r="AH27" s="41">
        <v>1.6666666666666601</v>
      </c>
      <c r="AI27" s="41">
        <v>2.7199999999999998E-2</v>
      </c>
      <c r="AJ27" s="41">
        <v>3.5700000000000003E-2</v>
      </c>
      <c r="AK27" s="53">
        <f t="shared" si="0"/>
        <v>186.2985315625065</v>
      </c>
      <c r="AL27" s="43">
        <v>3.1449999999999999E-2</v>
      </c>
      <c r="AM27" s="43">
        <f>IF(ISBLANK(AT27),AL27*'ratio of flow'!$D$1,AT27)</f>
        <v>0.05</v>
      </c>
      <c r="AN27" s="44" t="s">
        <v>52</v>
      </c>
      <c r="AO27" s="44" t="s">
        <v>53</v>
      </c>
      <c r="AP27" s="44" t="s">
        <v>53</v>
      </c>
      <c r="AQ27" s="44" t="s">
        <v>69</v>
      </c>
      <c r="AR27" s="45" t="s">
        <v>76</v>
      </c>
      <c r="AS27" s="45">
        <v>0.24528101424979001</v>
      </c>
      <c r="AT27" s="45">
        <v>0.05</v>
      </c>
      <c r="AU27" s="45">
        <v>1.3376552032882001E-2</v>
      </c>
      <c r="AV27" s="45">
        <v>0.188</v>
      </c>
      <c r="AW27" s="45">
        <v>0.34200000000000003</v>
      </c>
      <c r="AX27" s="45">
        <v>1.2999999999999999E-2</v>
      </c>
      <c r="AY27" s="45">
        <v>0.13800000000000001</v>
      </c>
      <c r="AZ27" s="45">
        <v>0.24099999999999999</v>
      </c>
      <c r="BA27" s="54">
        <v>2.76</v>
      </c>
      <c r="BB27" s="54">
        <v>0.26</v>
      </c>
      <c r="BC27" s="41">
        <v>0.25018101182654401</v>
      </c>
      <c r="BD27" s="41">
        <v>0.34200000000000003</v>
      </c>
      <c r="BE27" s="41">
        <v>0.247</v>
      </c>
      <c r="BF27" s="41">
        <v>0.193</v>
      </c>
      <c r="BG27" s="41">
        <v>0.23664930555555599</v>
      </c>
      <c r="BH27" s="41">
        <v>0.29899999999999999</v>
      </c>
      <c r="BI27" s="41">
        <v>0.23499999999999999</v>
      </c>
      <c r="BJ27" s="41">
        <v>0.188</v>
      </c>
      <c r="BK27" s="46">
        <f>IFERROR(VLOOKUP(AQ27,'Scoring and Weighting'!$B$10:$C$12,2,FALSE),'Scoring and Weighting'!$C$13)</f>
        <v>80</v>
      </c>
      <c r="BL27" s="46">
        <f>VLOOKUP(AM27,'Scoring and Weighting'!$C$19:$F$23,4)</f>
        <v>70</v>
      </c>
      <c r="BM27" s="47">
        <f t="shared" si="3"/>
        <v>26</v>
      </c>
      <c r="BN27" s="46">
        <f>IFERROR(VLOOKUP('Summary Table for Print'!AK27,'Scoring and Weighting'!$C$35:$F$39,4,1),30)</f>
        <v>50</v>
      </c>
      <c r="BO27" s="46">
        <f t="shared" si="2"/>
        <v>100</v>
      </c>
      <c r="BP27" s="47">
        <f>IFERROR(VLOOKUP(AN27,'Scoring and Weighting'!$B$63:$C$65,2,FALSE),1)</f>
        <v>1</v>
      </c>
      <c r="BQ27" s="49">
        <f>BK27*'Scoring and Weighting'!$C$55*'Summary Table for Print'!BP27</f>
        <v>20</v>
      </c>
      <c r="BR27" s="49">
        <f>BL27*BP27*'Scoring and Weighting'!$C$56</f>
        <v>17.5</v>
      </c>
      <c r="BS27" s="49">
        <f>BP27*BM27*'Scoring and Weighting'!$C$57</f>
        <v>6.5</v>
      </c>
      <c r="BT27" s="49">
        <f>BP27*BN27*'Scoring and Weighting'!$C$58</f>
        <v>5</v>
      </c>
      <c r="BU27" s="49">
        <f>BP27*BO27*'Scoring and Weighting'!$C$59</f>
        <v>15</v>
      </c>
      <c r="BV27" s="50">
        <f t="shared" si="4"/>
        <v>64</v>
      </c>
    </row>
    <row r="28" spans="1:74" x14ac:dyDescent="0.25">
      <c r="A28" s="41" t="s">
        <v>166</v>
      </c>
      <c r="B28" s="41"/>
      <c r="C28" s="41">
        <v>66</v>
      </c>
      <c r="D28" s="41"/>
      <c r="E28" s="41"/>
      <c r="F28" s="41">
        <v>418</v>
      </c>
      <c r="G28" s="41" t="s">
        <v>109</v>
      </c>
      <c r="H28" s="41">
        <v>1</v>
      </c>
      <c r="I28" s="41">
        <v>0</v>
      </c>
      <c r="J28" s="41" t="str">
        <f>VLOOKUP(A28,'Table with Jurisdictions'!$A$4:$Q$129,17,0)</f>
        <v>Laguna Niguel</v>
      </c>
      <c r="K28" s="41" t="s">
        <v>50</v>
      </c>
      <c r="L28" s="41"/>
      <c r="M28" s="119" t="s">
        <v>51</v>
      </c>
      <c r="N28" s="41"/>
      <c r="O28" s="41"/>
      <c r="P28" s="42">
        <v>127.790441515043</v>
      </c>
      <c r="Q28" s="41">
        <v>81</v>
      </c>
      <c r="R28" s="41">
        <v>81</v>
      </c>
      <c r="S28" s="41">
        <v>0</v>
      </c>
      <c r="T28" s="41">
        <v>0</v>
      </c>
      <c r="U28" s="41">
        <v>0</v>
      </c>
      <c r="V28" s="41">
        <v>0</v>
      </c>
      <c r="W28" s="41">
        <v>100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41">
        <v>0</v>
      </c>
      <c r="AD28" s="41">
        <v>0</v>
      </c>
      <c r="AE28" s="41">
        <v>3</v>
      </c>
      <c r="AF28" s="41">
        <v>0.76666666666666705</v>
      </c>
      <c r="AG28" s="41">
        <v>0.03</v>
      </c>
      <c r="AH28" s="41">
        <v>1.0888888888888799</v>
      </c>
      <c r="AI28" s="41">
        <v>1.3599999999999999E-2</v>
      </c>
      <c r="AJ28" s="41">
        <v>2.0400000000000001E-2</v>
      </c>
      <c r="AK28" s="53">
        <f t="shared" si="0"/>
        <v>103.51025762718484</v>
      </c>
      <c r="AL28" s="43">
        <v>1.7000000000000001E-2</v>
      </c>
      <c r="AM28" s="43">
        <f>IF(ISBLANK(AT28),AL28*'ratio of flow'!$D$1,AT28)</f>
        <v>5.3999999999999999E-2</v>
      </c>
      <c r="AN28" s="44" t="s">
        <v>52</v>
      </c>
      <c r="AO28" s="44" t="s">
        <v>53</v>
      </c>
      <c r="AP28" s="44" t="s">
        <v>53</v>
      </c>
      <c r="AQ28" s="44" t="s">
        <v>114</v>
      </c>
      <c r="AR28" s="45" t="s">
        <v>73</v>
      </c>
      <c r="AS28" s="45">
        <v>5.2329255861365997E-2</v>
      </c>
      <c r="AT28" s="45">
        <v>5.3999999999999999E-2</v>
      </c>
      <c r="AU28" s="45">
        <v>0.27382877179312398</v>
      </c>
      <c r="AV28" s="45">
        <v>0</v>
      </c>
      <c r="AW28" s="45">
        <v>1.01</v>
      </c>
      <c r="AX28" s="45">
        <v>1.9E-2</v>
      </c>
      <c r="AY28" s="45">
        <v>0.14099999999999999</v>
      </c>
      <c r="AZ28" s="45">
        <v>3.6999999999999998E-2</v>
      </c>
      <c r="BA28" s="54">
        <v>2.611111111</v>
      </c>
      <c r="BB28" s="54">
        <v>0.35185185200000002</v>
      </c>
      <c r="BC28" s="41">
        <v>5.3459069599712E-2</v>
      </c>
      <c r="BD28" s="41">
        <v>0.81699999999999995</v>
      </c>
      <c r="BE28" s="41">
        <v>0.04</v>
      </c>
      <c r="BF28" s="41">
        <v>0</v>
      </c>
      <c r="BG28" s="41">
        <v>4.9607298001738E-2</v>
      </c>
      <c r="BH28" s="41">
        <v>1.01</v>
      </c>
      <c r="BI28" s="41">
        <v>3.3000000000000002E-2</v>
      </c>
      <c r="BJ28" s="41">
        <v>0</v>
      </c>
      <c r="BK28" s="46">
        <f>IFERROR(VLOOKUP(AQ28,'Scoring and Weighting'!$B$10:$C$12,2,FALSE),'Scoring and Weighting'!$C$13)</f>
        <v>60</v>
      </c>
      <c r="BL28" s="46">
        <f>VLOOKUP(AM28,'Scoring and Weighting'!$C$19:$F$23,4)</f>
        <v>70</v>
      </c>
      <c r="BM28" s="47">
        <f t="shared" si="3"/>
        <v>35.185185199999999</v>
      </c>
      <c r="BN28" s="46">
        <f>IFERROR(VLOOKUP('Summary Table for Print'!AK28,'Scoring and Weighting'!$C$35:$F$39,4,1),30)</f>
        <v>30</v>
      </c>
      <c r="BO28" s="46">
        <f t="shared" si="2"/>
        <v>100</v>
      </c>
      <c r="BP28" s="47">
        <f>IFERROR(VLOOKUP(AN28,'Scoring and Weighting'!$B$63:$C$65,2,FALSE),1)</f>
        <v>1</v>
      </c>
      <c r="BQ28" s="49">
        <f>BK28*'Scoring and Weighting'!$C$55*'Summary Table for Print'!BP28</f>
        <v>15</v>
      </c>
      <c r="BR28" s="49">
        <f>BL28*BP28*'Scoring and Weighting'!$C$56</f>
        <v>17.5</v>
      </c>
      <c r="BS28" s="49">
        <f>BP28*BM28*'Scoring and Weighting'!$C$57</f>
        <v>8.7962962999999998</v>
      </c>
      <c r="BT28" s="49">
        <f>BP28*BN28*'Scoring and Weighting'!$C$58</f>
        <v>3</v>
      </c>
      <c r="BU28" s="49">
        <f>BP28*BO28*'Scoring and Weighting'!$C$59</f>
        <v>15</v>
      </c>
      <c r="BV28" s="50">
        <f t="shared" si="4"/>
        <v>59.296296300000002</v>
      </c>
    </row>
    <row r="29" spans="1:74" x14ac:dyDescent="0.25">
      <c r="A29" s="41" t="s">
        <v>78</v>
      </c>
      <c r="B29" s="41" t="s">
        <v>129</v>
      </c>
      <c r="C29" s="41">
        <v>78</v>
      </c>
      <c r="D29" s="41"/>
      <c r="E29" s="41"/>
      <c r="F29" s="41">
        <v>9109</v>
      </c>
      <c r="G29" s="41" t="s">
        <v>130</v>
      </c>
      <c r="H29" s="41">
        <v>1</v>
      </c>
      <c r="I29" s="41">
        <v>0</v>
      </c>
      <c r="J29" s="41" t="str">
        <f>VLOOKUP(A29,'Table with Jurisdictions'!$A$4:$Q$129,17,0)</f>
        <v>Aliso Viejo</v>
      </c>
      <c r="K29" s="41" t="s">
        <v>50</v>
      </c>
      <c r="L29" s="41"/>
      <c r="M29" s="41" t="s">
        <v>51</v>
      </c>
      <c r="N29" s="41"/>
      <c r="O29" s="41"/>
      <c r="P29" s="42">
        <v>124.660760655133</v>
      </c>
      <c r="Q29" s="41">
        <v>84</v>
      </c>
      <c r="R29" s="41">
        <v>82</v>
      </c>
      <c r="S29" s="41">
        <v>98</v>
      </c>
      <c r="T29" s="41">
        <v>0</v>
      </c>
      <c r="U29" s="41">
        <v>0</v>
      </c>
      <c r="V29" s="41">
        <v>0</v>
      </c>
      <c r="W29" s="41">
        <v>0</v>
      </c>
      <c r="X29" s="41">
        <v>0</v>
      </c>
      <c r="Y29" s="41">
        <v>0</v>
      </c>
      <c r="Z29" s="41">
        <v>0</v>
      </c>
      <c r="AA29" s="41">
        <v>2</v>
      </c>
      <c r="AB29" s="41">
        <v>0</v>
      </c>
      <c r="AC29" s="41">
        <v>0</v>
      </c>
      <c r="AD29" s="41">
        <v>0</v>
      </c>
      <c r="AE29" s="41">
        <v>1</v>
      </c>
      <c r="AF29" s="41">
        <v>1.7</v>
      </c>
      <c r="AG29" s="41">
        <v>0.14000000000000001</v>
      </c>
      <c r="AH29" s="41">
        <v>1.5</v>
      </c>
      <c r="AI29" s="41">
        <v>0.30345</v>
      </c>
      <c r="AJ29" s="41">
        <v>0.30345</v>
      </c>
      <c r="AK29" s="53">
        <f t="shared" si="0"/>
        <v>104.71503895031172</v>
      </c>
      <c r="AL29" s="43">
        <v>0.30345</v>
      </c>
      <c r="AM29" s="43">
        <f>IF(ISBLANK(AT29),AL29*'ratio of flow'!$D$1,AT29)</f>
        <v>5.8999999999999997E-2</v>
      </c>
      <c r="AN29" s="44"/>
      <c r="AO29" s="44"/>
      <c r="AP29" s="44"/>
      <c r="AQ29" s="44"/>
      <c r="AR29" s="45" t="s">
        <v>132</v>
      </c>
      <c r="AS29" s="45">
        <v>1.8302003951454E-2</v>
      </c>
      <c r="AT29" s="45">
        <v>5.8999999999999997E-2</v>
      </c>
      <c r="AU29" s="45">
        <v>0.23505644315588201</v>
      </c>
      <c r="AV29" s="45">
        <v>0</v>
      </c>
      <c r="AW29" s="45">
        <v>0.621</v>
      </c>
      <c r="AX29" s="45">
        <v>1.4E-2</v>
      </c>
      <c r="AY29" s="45">
        <v>0.13200000000000001</v>
      </c>
      <c r="AZ29" s="45">
        <v>1.2999999999999999E-2</v>
      </c>
      <c r="BA29" s="54">
        <v>2.2372881360000001</v>
      </c>
      <c r="BB29" s="54">
        <v>0.23728813600000001</v>
      </c>
      <c r="BC29" s="41">
        <v>1.7502991772625001E-2</v>
      </c>
      <c r="BD29" s="41">
        <v>0.122</v>
      </c>
      <c r="BE29" s="41">
        <v>1.4999999999999999E-2</v>
      </c>
      <c r="BF29" s="41">
        <v>0</v>
      </c>
      <c r="BG29" s="41">
        <v>2.0760644418872001E-2</v>
      </c>
      <c r="BH29" s="41">
        <v>0.621</v>
      </c>
      <c r="BI29" s="41">
        <v>1.2999999999999999E-2</v>
      </c>
      <c r="BJ29" s="41">
        <v>0</v>
      </c>
      <c r="BK29" s="46">
        <f>IFERROR(VLOOKUP(AQ29,'Scoring and Weighting'!$B$10:$C$12,2,FALSE),'Scoring and Weighting'!$C$13)</f>
        <v>70</v>
      </c>
      <c r="BL29" s="46">
        <f>VLOOKUP(AM29,'Scoring and Weighting'!$C$19:$F$23,4)</f>
        <v>70</v>
      </c>
      <c r="BM29" s="47">
        <f t="shared" si="3"/>
        <v>23.728813600000002</v>
      </c>
      <c r="BN29" s="46">
        <f>IFERROR(VLOOKUP('Summary Table for Print'!AK29,'Scoring and Weighting'!$C$35:$F$39,4,1),30)</f>
        <v>30</v>
      </c>
      <c r="BO29" s="46">
        <f t="shared" si="2"/>
        <v>20</v>
      </c>
      <c r="BP29" s="47">
        <f>IFERROR(VLOOKUP(AN29,'Scoring and Weighting'!$B$63:$C$65,2,FALSE),1)</f>
        <v>1</v>
      </c>
      <c r="BQ29" s="49">
        <f>BK29*'Scoring and Weighting'!$C$55*'Summary Table for Print'!BP29</f>
        <v>17.5</v>
      </c>
      <c r="BR29" s="49">
        <f>BL29*BP29*'Scoring and Weighting'!$C$56</f>
        <v>17.5</v>
      </c>
      <c r="BS29" s="49">
        <f>BP29*BM29*'Scoring and Weighting'!$C$57</f>
        <v>5.9322034000000006</v>
      </c>
      <c r="BT29" s="49">
        <f>BP29*BN29*'Scoring and Weighting'!$C$58</f>
        <v>3</v>
      </c>
      <c r="BU29" s="49">
        <f>BP29*BO29*'Scoring and Weighting'!$C$59</f>
        <v>3</v>
      </c>
      <c r="BV29" s="50">
        <f t="shared" si="4"/>
        <v>46.932203399999999</v>
      </c>
    </row>
    <row r="30" spans="1:74" x14ac:dyDescent="0.25">
      <c r="A30" s="41" t="s">
        <v>66</v>
      </c>
      <c r="B30" s="41" t="s">
        <v>134</v>
      </c>
      <c r="C30" s="41">
        <v>60</v>
      </c>
      <c r="D30" s="41"/>
      <c r="E30" s="41"/>
      <c r="F30" s="41">
        <v>708</v>
      </c>
      <c r="G30" s="41" t="s">
        <v>109</v>
      </c>
      <c r="H30" s="41">
        <v>1</v>
      </c>
      <c r="I30" s="41">
        <v>0</v>
      </c>
      <c r="J30" s="41" t="str">
        <f>VLOOKUP(A30,'Table with Jurisdictions'!$A$4:$Q$129,17,0)</f>
        <v>Orange County</v>
      </c>
      <c r="K30" s="41" t="s">
        <v>50</v>
      </c>
      <c r="L30" s="41"/>
      <c r="M30" s="41" t="s">
        <v>64</v>
      </c>
      <c r="N30" s="41"/>
      <c r="O30" s="41"/>
      <c r="P30" s="42">
        <v>452.44003083335502</v>
      </c>
      <c r="Q30" s="41">
        <v>62</v>
      </c>
      <c r="R30" s="41">
        <v>52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100</v>
      </c>
      <c r="AB30" s="41">
        <v>0</v>
      </c>
      <c r="AC30" s="41">
        <v>0</v>
      </c>
      <c r="AD30" s="41">
        <v>0</v>
      </c>
      <c r="AE30" s="41">
        <v>1</v>
      </c>
      <c r="AF30" s="41">
        <v>1.1399999999999999</v>
      </c>
      <c r="AG30" s="41">
        <v>0.4</v>
      </c>
      <c r="AH30" s="41">
        <v>1.5</v>
      </c>
      <c r="AI30" s="41">
        <v>0.58140000000000003</v>
      </c>
      <c r="AJ30" s="41">
        <v>0.58140000000000003</v>
      </c>
      <c r="AK30" s="53">
        <f t="shared" si="0"/>
        <v>280.51281911668013</v>
      </c>
      <c r="AL30" s="43">
        <v>0.58140000000000003</v>
      </c>
      <c r="AM30" s="43">
        <f>IF(ISBLANK(AT30),AL30*'ratio of flow'!$D$1,AT30)</f>
        <v>6.2E-2</v>
      </c>
      <c r="AN30" s="44" t="s">
        <v>52</v>
      </c>
      <c r="AO30" s="44" t="s">
        <v>53</v>
      </c>
      <c r="AP30" s="44" t="s">
        <v>53</v>
      </c>
      <c r="AQ30" s="44" t="s">
        <v>69</v>
      </c>
      <c r="AR30" s="45" t="s">
        <v>135</v>
      </c>
      <c r="AS30" s="45">
        <v>6.6242387332520001E-3</v>
      </c>
      <c r="AT30" s="45">
        <v>6.2E-2</v>
      </c>
      <c r="AU30" s="45">
        <v>0.39615702859244301</v>
      </c>
      <c r="AV30" s="45">
        <v>0</v>
      </c>
      <c r="AW30" s="45">
        <v>0.10299999999999999</v>
      </c>
      <c r="AX30" s="45">
        <v>8.0000000000000002E-3</v>
      </c>
      <c r="AY30" s="45">
        <v>0.217</v>
      </c>
      <c r="AZ30" s="45">
        <v>4.0000000000000001E-3</v>
      </c>
      <c r="BA30" s="54">
        <v>3.5</v>
      </c>
      <c r="BB30" s="54">
        <v>0.12903225800000001</v>
      </c>
      <c r="BC30" s="41">
        <v>6.4652029826010003E-3</v>
      </c>
      <c r="BD30" s="41">
        <v>0.10199999999999999</v>
      </c>
      <c r="BE30" s="41">
        <v>4.0000000000000001E-3</v>
      </c>
      <c r="BF30" s="41">
        <v>0</v>
      </c>
      <c r="BG30" s="41">
        <v>7.0655172413789996E-3</v>
      </c>
      <c r="BH30" s="41">
        <v>0.10299999999999999</v>
      </c>
      <c r="BI30" s="41">
        <v>4.0000000000000001E-3</v>
      </c>
      <c r="BJ30" s="41">
        <v>0</v>
      </c>
      <c r="BK30" s="46">
        <f>IFERROR(VLOOKUP(AQ30,'Scoring and Weighting'!$B$10:$C$12,2,FALSE),'Scoring and Weighting'!$C$13)</f>
        <v>80</v>
      </c>
      <c r="BL30" s="46">
        <f>VLOOKUP(AM30,'Scoring and Weighting'!$C$19:$F$23,4)</f>
        <v>70</v>
      </c>
      <c r="BM30" s="47">
        <f t="shared" si="3"/>
        <v>12.903225800000001</v>
      </c>
      <c r="BN30" s="46">
        <f>IFERROR(VLOOKUP('Summary Table for Print'!AK30,'Scoring and Weighting'!$C$35:$F$39,4,1),30)</f>
        <v>70</v>
      </c>
      <c r="BO30" s="46">
        <f t="shared" si="2"/>
        <v>80</v>
      </c>
      <c r="BP30" s="47">
        <f>IFERROR(VLOOKUP(AN30,'Scoring and Weighting'!$B$63:$C$65,2,FALSE),1)</f>
        <v>1</v>
      </c>
      <c r="BQ30" s="49">
        <f>BK30*'Scoring and Weighting'!$C$55*'Summary Table for Print'!BP30</f>
        <v>20</v>
      </c>
      <c r="BR30" s="49">
        <f>BL30*BP30*'Scoring and Weighting'!$C$56</f>
        <v>17.5</v>
      </c>
      <c r="BS30" s="49">
        <f>BP30*BM30*'Scoring and Weighting'!$C$57</f>
        <v>3.2258064500000003</v>
      </c>
      <c r="BT30" s="49">
        <f>BP30*BN30*'Scoring and Weighting'!$C$58</f>
        <v>7</v>
      </c>
      <c r="BU30" s="49">
        <f>BP30*BO30*'Scoring and Weighting'!$C$59</f>
        <v>12</v>
      </c>
      <c r="BV30" s="50">
        <f t="shared" si="4"/>
        <v>59.72580645</v>
      </c>
    </row>
    <row r="31" spans="1:74" x14ac:dyDescent="0.25">
      <c r="A31" s="41" t="s">
        <v>48</v>
      </c>
      <c r="B31" s="41" t="s">
        <v>137</v>
      </c>
      <c r="C31" s="41">
        <v>96</v>
      </c>
      <c r="D31" s="41"/>
      <c r="E31" s="41"/>
      <c r="F31" s="41">
        <v>727</v>
      </c>
      <c r="G31" s="41" t="s">
        <v>95</v>
      </c>
      <c r="H31" s="41">
        <v>1</v>
      </c>
      <c r="I31" s="41">
        <v>0</v>
      </c>
      <c r="J31" s="41" t="str">
        <f>VLOOKUP(A31,'Table with Jurisdictions'!$A$4:$Q$129,17,0)</f>
        <v>Aliso Viejo</v>
      </c>
      <c r="K31" s="41" t="s">
        <v>50</v>
      </c>
      <c r="L31" s="41"/>
      <c r="M31" s="41" t="s">
        <v>51</v>
      </c>
      <c r="N31" s="41">
        <v>27645.182571798199</v>
      </c>
      <c r="O31" s="41">
        <v>18800779.801328599</v>
      </c>
      <c r="P31" s="42">
        <v>145.61257766575201</v>
      </c>
      <c r="Q31" s="41">
        <v>87</v>
      </c>
      <c r="R31" s="41">
        <v>78</v>
      </c>
      <c r="S31" s="41">
        <v>98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2</v>
      </c>
      <c r="AB31" s="41">
        <v>0</v>
      </c>
      <c r="AC31" s="41">
        <v>0</v>
      </c>
      <c r="AD31" s="41">
        <v>0</v>
      </c>
      <c r="AE31" s="41">
        <v>3</v>
      </c>
      <c r="AF31" s="41">
        <v>0.8</v>
      </c>
      <c r="AG31" s="41">
        <v>0.05</v>
      </c>
      <c r="AH31" s="41">
        <v>2.5362318840579698</v>
      </c>
      <c r="AI31" s="41">
        <v>5.0999999999999997E-2</v>
      </c>
      <c r="AJ31" s="41">
        <v>0.113086956521739</v>
      </c>
      <c r="AK31" s="53">
        <f t="shared" si="0"/>
        <v>126.68294256920426</v>
      </c>
      <c r="AL31" s="43">
        <v>8.8695652173912995E-2</v>
      </c>
      <c r="AM31" s="43">
        <f>IF(ISBLANK(AT31),AL31*'ratio of flow'!$D$1,AT31)</f>
        <v>6.6000000000000003E-2</v>
      </c>
      <c r="AN31" s="44" t="s">
        <v>52</v>
      </c>
      <c r="AO31" s="44" t="s">
        <v>53</v>
      </c>
      <c r="AP31" s="44" t="s">
        <v>53</v>
      </c>
      <c r="AQ31" s="44" t="s">
        <v>54</v>
      </c>
      <c r="AR31" s="45"/>
      <c r="AS31" s="45"/>
      <c r="AT31" s="45">
        <v>6.6000000000000003E-2</v>
      </c>
      <c r="AU31" s="45"/>
      <c r="AV31" s="45"/>
      <c r="AW31" s="45"/>
      <c r="AX31" s="45">
        <v>1.4999999999999999E-2</v>
      </c>
      <c r="AY31" s="45">
        <v>0.189</v>
      </c>
      <c r="AZ31" s="45"/>
      <c r="BA31" s="54">
        <v>2.863636364</v>
      </c>
      <c r="BB31" s="54">
        <v>0.22727272700000001</v>
      </c>
      <c r="BC31" s="41"/>
      <c r="BD31" s="41"/>
      <c r="BE31" s="41"/>
      <c r="BF31" s="41"/>
      <c r="BG31" s="41"/>
      <c r="BH31" s="41"/>
      <c r="BI31" s="41"/>
      <c r="BJ31" s="41"/>
      <c r="BK31" s="46">
        <f>IFERROR(VLOOKUP(AQ31,'Scoring and Weighting'!$B$10:$C$12,2,FALSE),'Scoring and Weighting'!$C$13)</f>
        <v>100</v>
      </c>
      <c r="BL31" s="46">
        <f>VLOOKUP(AM31,'Scoring and Weighting'!$C$19:$F$23,4)</f>
        <v>70</v>
      </c>
      <c r="BM31" s="47">
        <f t="shared" si="3"/>
        <v>22.7272727</v>
      </c>
      <c r="BN31" s="46">
        <f>IFERROR(VLOOKUP('Summary Table for Print'!AK31,'Scoring and Weighting'!$C$35:$F$39,4,1),30)</f>
        <v>30</v>
      </c>
      <c r="BO31" s="46">
        <f t="shared" si="2"/>
        <v>100</v>
      </c>
      <c r="BP31" s="47">
        <f>IFERROR(VLOOKUP(AN31,'Scoring and Weighting'!$B$63:$C$65,2,FALSE),1)</f>
        <v>1</v>
      </c>
      <c r="BQ31" s="49">
        <f>BK31*'Scoring and Weighting'!$C$55*'Summary Table for Print'!BP31</f>
        <v>25</v>
      </c>
      <c r="BR31" s="49">
        <f>BL31*BP31*'Scoring and Weighting'!$C$56</f>
        <v>17.5</v>
      </c>
      <c r="BS31" s="49">
        <f>BP31*BM31*'Scoring and Weighting'!$C$57</f>
        <v>5.6818181750000001</v>
      </c>
      <c r="BT31" s="49">
        <f>BP31*BN31*'Scoring and Weighting'!$C$58</f>
        <v>3</v>
      </c>
      <c r="BU31" s="49">
        <f>BP31*BO31*'Scoring and Weighting'!$C$59</f>
        <v>15</v>
      </c>
      <c r="BV31" s="50">
        <f t="shared" si="4"/>
        <v>66.181818175000004</v>
      </c>
    </row>
    <row r="32" spans="1:74" x14ac:dyDescent="0.25">
      <c r="A32" s="41" t="s">
        <v>121</v>
      </c>
      <c r="B32" s="41" t="s">
        <v>139</v>
      </c>
      <c r="C32" s="41">
        <v>78</v>
      </c>
      <c r="D32" s="41"/>
      <c r="E32" s="41"/>
      <c r="F32" s="41">
        <v>9144</v>
      </c>
      <c r="G32" s="41" t="s">
        <v>49</v>
      </c>
      <c r="H32" s="41">
        <v>1</v>
      </c>
      <c r="I32" s="41">
        <v>0</v>
      </c>
      <c r="J32" s="41" t="str">
        <f>VLOOKUP(A32,'Table with Jurisdictions'!$A$4:$Q$129,17,0)</f>
        <v>Multiple</v>
      </c>
      <c r="K32" s="41" t="s">
        <v>50</v>
      </c>
      <c r="L32" s="41"/>
      <c r="M32" s="41" t="s">
        <v>64</v>
      </c>
      <c r="N32" s="41">
        <v>19730.3538222077</v>
      </c>
      <c r="O32" s="41">
        <v>8428527.0704872292</v>
      </c>
      <c r="P32" s="42">
        <v>1139.55258679796</v>
      </c>
      <c r="Q32" s="41">
        <v>39</v>
      </c>
      <c r="R32" s="41">
        <v>28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45</v>
      </c>
      <c r="AA32" s="41">
        <v>29</v>
      </c>
      <c r="AB32" s="41">
        <v>26</v>
      </c>
      <c r="AC32" s="41">
        <v>0</v>
      </c>
      <c r="AD32" s="41">
        <v>0</v>
      </c>
      <c r="AE32" s="41">
        <v>3</v>
      </c>
      <c r="AF32" s="41">
        <v>1.56666666666666</v>
      </c>
      <c r="AG32" s="41">
        <v>0.103333333333333</v>
      </c>
      <c r="AH32" s="41">
        <v>0.83333333333333304</v>
      </c>
      <c r="AI32" s="41">
        <v>0.10199999999999999</v>
      </c>
      <c r="AJ32" s="41">
        <v>0.1105</v>
      </c>
      <c r="AK32" s="53">
        <f t="shared" si="0"/>
        <v>444.42550885120437</v>
      </c>
      <c r="AL32" s="43">
        <v>0.104833333333333</v>
      </c>
      <c r="AM32" s="43">
        <f>IF(ISBLANK(AT32),AL32*'ratio of flow'!$D$1,AT32)</f>
        <v>9.7000000000000003E-2</v>
      </c>
      <c r="AN32" s="44" t="s">
        <v>52</v>
      </c>
      <c r="AO32" s="44" t="s">
        <v>53</v>
      </c>
      <c r="AP32" s="44" t="s">
        <v>53</v>
      </c>
      <c r="AQ32" s="44" t="s">
        <v>69</v>
      </c>
      <c r="AR32" s="45"/>
      <c r="AS32" s="45"/>
      <c r="AT32" s="45">
        <v>9.7000000000000003E-2</v>
      </c>
      <c r="AU32" s="45"/>
      <c r="AV32" s="45"/>
      <c r="AW32" s="45"/>
      <c r="AX32" s="45">
        <v>5.45E-2</v>
      </c>
      <c r="AY32" s="45">
        <v>0.20399999999999999</v>
      </c>
      <c r="AZ32" s="45"/>
      <c r="BA32" s="54">
        <v>2.1030927840000002</v>
      </c>
      <c r="BB32" s="54">
        <v>0.56185567000000003</v>
      </c>
      <c r="BC32" s="41"/>
      <c r="BD32" s="41"/>
      <c r="BE32" s="41"/>
      <c r="BF32" s="41"/>
      <c r="BG32" s="41"/>
      <c r="BH32" s="41"/>
      <c r="BI32" s="41"/>
      <c r="BJ32" s="41"/>
      <c r="BK32" s="46">
        <f>IFERROR(VLOOKUP(AQ32,'Scoring and Weighting'!$B$10:$C$12,2,FALSE),'Scoring and Weighting'!$C$13)</f>
        <v>80</v>
      </c>
      <c r="BL32" s="46">
        <f>VLOOKUP(AM32,'Scoring and Weighting'!$C$19:$F$23,4)</f>
        <v>70</v>
      </c>
      <c r="BM32" s="47">
        <f t="shared" si="3"/>
        <v>56.185567000000006</v>
      </c>
      <c r="BN32" s="46">
        <f>IFERROR(VLOOKUP('Summary Table for Print'!AK32,'Scoring and Weighting'!$C$35:$F$39,4,1),30)</f>
        <v>90</v>
      </c>
      <c r="BO32" s="46">
        <f t="shared" si="2"/>
        <v>100</v>
      </c>
      <c r="BP32" s="47">
        <f>IFERROR(VLOOKUP(AN32,'Scoring and Weighting'!$B$63:$C$65,2,FALSE),1)</f>
        <v>1</v>
      </c>
      <c r="BQ32" s="49">
        <f>BK32*'Scoring and Weighting'!$C$55*'Summary Table for Print'!BP32</f>
        <v>20</v>
      </c>
      <c r="BR32" s="49">
        <f>BL32*BP32*'Scoring and Weighting'!$C$56</f>
        <v>17.5</v>
      </c>
      <c r="BS32" s="49">
        <f>BP32*BM32*'Scoring and Weighting'!$C$57</f>
        <v>14.046391750000002</v>
      </c>
      <c r="BT32" s="49">
        <f>BP32*BN32*'Scoring and Weighting'!$C$58</f>
        <v>9</v>
      </c>
      <c r="BU32" s="49">
        <f>BP32*BO32*'Scoring and Weighting'!$C$59</f>
        <v>15</v>
      </c>
      <c r="BV32" s="50">
        <f t="shared" si="4"/>
        <v>75.546391749999998</v>
      </c>
    </row>
    <row r="33" spans="1:74" x14ac:dyDescent="0.25">
      <c r="A33" s="41" t="s">
        <v>520</v>
      </c>
      <c r="B33" s="41" t="s">
        <v>141</v>
      </c>
      <c r="C33" s="41">
        <v>90</v>
      </c>
      <c r="D33" s="41"/>
      <c r="E33" s="41"/>
      <c r="F33" s="41">
        <v>9992</v>
      </c>
      <c r="G33" s="41" t="s">
        <v>49</v>
      </c>
      <c r="H33" s="41">
        <v>1</v>
      </c>
      <c r="I33" s="41">
        <v>0</v>
      </c>
      <c r="J33" s="41" t="str">
        <f>VLOOKUP(A33,'Table with Jurisdictions'!$A$4:$Q$129,17,0)</f>
        <v>Lake Forest</v>
      </c>
      <c r="K33" s="41" t="s">
        <v>50</v>
      </c>
      <c r="L33" s="41"/>
      <c r="M33" s="41" t="s">
        <v>51</v>
      </c>
      <c r="N33" s="41">
        <v>32526.203896617499</v>
      </c>
      <c r="O33" s="41">
        <v>24125242.085381299</v>
      </c>
      <c r="P33" s="42">
        <v>479.88775983888598</v>
      </c>
      <c r="Q33" s="41">
        <v>75</v>
      </c>
      <c r="R33" s="41">
        <v>70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100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AE33" s="41"/>
      <c r="AF33" s="41"/>
      <c r="AG33" s="41"/>
      <c r="AH33" s="41"/>
      <c r="AI33" s="41"/>
      <c r="AJ33" s="41"/>
      <c r="AK33" s="53">
        <f t="shared" si="0"/>
        <v>359.91581987916447</v>
      </c>
      <c r="AL33" s="43"/>
      <c r="AM33" s="43">
        <f>IF(ISBLANK(AT33),AL33*'ratio of flow'!$D$1,AT33)</f>
        <v>9.9000000000000005E-2</v>
      </c>
      <c r="AN33" s="44"/>
      <c r="AO33" s="44"/>
      <c r="AP33" s="44"/>
      <c r="AQ33" s="44"/>
      <c r="AR33" s="45"/>
      <c r="AS33" s="45"/>
      <c r="AT33" s="45">
        <v>9.9000000000000005E-2</v>
      </c>
      <c r="AU33" s="45"/>
      <c r="AV33" s="45"/>
      <c r="AW33" s="45"/>
      <c r="AX33" s="45">
        <v>0.09</v>
      </c>
      <c r="AY33" s="45">
        <v>0.121</v>
      </c>
      <c r="AZ33" s="45"/>
      <c r="BA33" s="54">
        <v>1.2222222220000001</v>
      </c>
      <c r="BB33" s="54">
        <v>0.909090909</v>
      </c>
      <c r="BC33" s="41"/>
      <c r="BD33" s="41"/>
      <c r="BE33" s="41"/>
      <c r="BF33" s="41"/>
      <c r="BG33" s="41"/>
      <c r="BH33" s="41"/>
      <c r="BI33" s="41"/>
      <c r="BJ33" s="41"/>
      <c r="BK33" s="46">
        <f>IFERROR(VLOOKUP(AQ33,'Scoring and Weighting'!$B$10:$C$12,2,FALSE),'Scoring and Weighting'!$C$13)</f>
        <v>70</v>
      </c>
      <c r="BL33" s="46">
        <f>VLOOKUP(AM33,'Scoring and Weighting'!$C$19:$F$23,4)</f>
        <v>70</v>
      </c>
      <c r="BM33" s="47">
        <f t="shared" si="3"/>
        <v>90.909090899999995</v>
      </c>
      <c r="BN33" s="46">
        <f>IFERROR(VLOOKUP('Summary Table for Print'!AK33,'Scoring and Weighting'!$C$35:$F$39,4,1),30)</f>
        <v>90</v>
      </c>
      <c r="BO33" s="46">
        <f t="shared" si="2"/>
        <v>20</v>
      </c>
      <c r="BP33" s="47">
        <f>IFERROR(VLOOKUP(AN33,'Scoring and Weighting'!$B$63:$C$65,2,FALSE),1)</f>
        <v>1</v>
      </c>
      <c r="BQ33" s="49">
        <f>BK33*'Scoring and Weighting'!$C$55*'Summary Table for Print'!BP33</f>
        <v>17.5</v>
      </c>
      <c r="BR33" s="49">
        <f>BL33*BP33*'Scoring and Weighting'!$C$56</f>
        <v>17.5</v>
      </c>
      <c r="BS33" s="49">
        <f>BP33*BM33*'Scoring and Weighting'!$C$57</f>
        <v>22.727272724999999</v>
      </c>
      <c r="BT33" s="49">
        <f>BP33*BN33*'Scoring and Weighting'!$C$58</f>
        <v>9</v>
      </c>
      <c r="BU33" s="49">
        <f>BP33*BO33*'Scoring and Weighting'!$C$59</f>
        <v>3</v>
      </c>
      <c r="BV33" s="50">
        <f t="shared" si="4"/>
        <v>69.727272725000006</v>
      </c>
    </row>
    <row r="34" spans="1:74" x14ac:dyDescent="0.25">
      <c r="A34" s="41" t="s">
        <v>164</v>
      </c>
      <c r="B34" s="41" t="s">
        <v>143</v>
      </c>
      <c r="C34" s="41">
        <v>96</v>
      </c>
      <c r="D34" s="41"/>
      <c r="E34" s="41"/>
      <c r="F34" s="41">
        <v>9131</v>
      </c>
      <c r="G34" s="41" t="s">
        <v>49</v>
      </c>
      <c r="H34" s="41">
        <v>1</v>
      </c>
      <c r="I34" s="41">
        <v>0</v>
      </c>
      <c r="J34" s="41" t="str">
        <f>VLOOKUP(A34,'Table with Jurisdictions'!$A$4:$Q$129,17,0)</f>
        <v>Mission Viejo</v>
      </c>
      <c r="K34" s="41" t="s">
        <v>50</v>
      </c>
      <c r="L34" s="41"/>
      <c r="M34" s="41" t="s">
        <v>51</v>
      </c>
      <c r="N34" s="41">
        <v>17724.618810611901</v>
      </c>
      <c r="O34" s="41">
        <v>12474938.274098299</v>
      </c>
      <c r="P34" s="42">
        <v>420.34930933019098</v>
      </c>
      <c r="Q34" s="41">
        <v>95</v>
      </c>
      <c r="R34" s="41">
        <v>48</v>
      </c>
      <c r="S34" s="41">
        <v>0</v>
      </c>
      <c r="T34" s="41">
        <v>0</v>
      </c>
      <c r="U34" s="41">
        <v>0</v>
      </c>
      <c r="V34" s="41">
        <v>0</v>
      </c>
      <c r="W34" s="41">
        <v>0</v>
      </c>
      <c r="X34" s="41">
        <v>0</v>
      </c>
      <c r="Y34" s="41">
        <v>1</v>
      </c>
      <c r="Z34" s="41">
        <v>99</v>
      </c>
      <c r="AA34" s="41">
        <v>0</v>
      </c>
      <c r="AB34" s="41">
        <v>0</v>
      </c>
      <c r="AC34" s="41">
        <v>0</v>
      </c>
      <c r="AD34" s="41">
        <v>0</v>
      </c>
      <c r="AE34" s="41">
        <v>2</v>
      </c>
      <c r="AF34" s="41">
        <v>1.25</v>
      </c>
      <c r="AG34" s="41">
        <v>4.4999999999999998E-2</v>
      </c>
      <c r="AH34" s="41">
        <v>1.1578947368421</v>
      </c>
      <c r="AI34" s="41">
        <v>4.0800000000000003E-2</v>
      </c>
      <c r="AJ34" s="41">
        <v>7.2697368421052996E-2</v>
      </c>
      <c r="AK34" s="53">
        <f t="shared" si="0"/>
        <v>399.3318438636814</v>
      </c>
      <c r="AL34" s="43">
        <v>5.6748684210526E-2</v>
      </c>
      <c r="AM34" s="43">
        <f>IF(ISBLANK(AT34),AL34*'ratio of flow'!$D$1,AT34)</f>
        <v>9.9000000000000005E-2</v>
      </c>
      <c r="AN34" s="44"/>
      <c r="AO34" s="44"/>
      <c r="AP34" s="44"/>
      <c r="AQ34" s="44"/>
      <c r="AR34" s="45"/>
      <c r="AS34" s="45"/>
      <c r="AT34" s="45">
        <v>9.9000000000000005E-2</v>
      </c>
      <c r="AU34" s="45"/>
      <c r="AV34" s="45"/>
      <c r="AW34" s="45"/>
      <c r="AX34" s="45">
        <v>2.4E-2</v>
      </c>
      <c r="AY34" s="45">
        <v>0.3745</v>
      </c>
      <c r="AZ34" s="45"/>
      <c r="BA34" s="54">
        <v>3.7828282830000002</v>
      </c>
      <c r="BB34" s="54">
        <v>0.24242424200000001</v>
      </c>
      <c r="BC34" s="41"/>
      <c r="BD34" s="41"/>
      <c r="BE34" s="41"/>
      <c r="BF34" s="41"/>
      <c r="BG34" s="41"/>
      <c r="BH34" s="41"/>
      <c r="BI34" s="41"/>
      <c r="BJ34" s="41"/>
      <c r="BK34" s="46">
        <f>IFERROR(VLOOKUP(AQ34,'Scoring and Weighting'!$B$10:$C$12,2,FALSE),'Scoring and Weighting'!$C$13)</f>
        <v>70</v>
      </c>
      <c r="BL34" s="46">
        <f>VLOOKUP(AM34,'Scoring and Weighting'!$C$19:$F$23,4)</f>
        <v>70</v>
      </c>
      <c r="BM34" s="47">
        <f t="shared" si="3"/>
        <v>24.242424200000002</v>
      </c>
      <c r="BN34" s="46">
        <f>IFERROR(VLOOKUP('Summary Table for Print'!AK34,'Scoring and Weighting'!$C$35:$F$39,4,1),30)</f>
        <v>90</v>
      </c>
      <c r="BO34" s="46">
        <f t="shared" si="2"/>
        <v>40</v>
      </c>
      <c r="BP34" s="47">
        <f>IFERROR(VLOOKUP(AN34,'Scoring and Weighting'!$B$63:$C$65,2,FALSE),1)</f>
        <v>1</v>
      </c>
      <c r="BQ34" s="49">
        <f>BK34*'Scoring and Weighting'!$C$55*'Summary Table for Print'!BP34</f>
        <v>17.5</v>
      </c>
      <c r="BR34" s="49">
        <f>BL34*BP34*'Scoring and Weighting'!$C$56</f>
        <v>17.5</v>
      </c>
      <c r="BS34" s="49">
        <f>BP34*BM34*'Scoring and Weighting'!$C$57</f>
        <v>6.0606060500000005</v>
      </c>
      <c r="BT34" s="49">
        <f>BP34*BN34*'Scoring and Weighting'!$C$58</f>
        <v>9</v>
      </c>
      <c r="BU34" s="49">
        <f>BP34*BO34*'Scoring and Weighting'!$C$59</f>
        <v>6</v>
      </c>
      <c r="BV34" s="50">
        <f t="shared" si="4"/>
        <v>56.060606050000004</v>
      </c>
    </row>
    <row r="35" spans="1:74" x14ac:dyDescent="0.25">
      <c r="A35" s="41" t="s">
        <v>183</v>
      </c>
      <c r="B35" s="41" t="s">
        <v>145</v>
      </c>
      <c r="C35" s="41">
        <v>42</v>
      </c>
      <c r="D35" s="41"/>
      <c r="E35" s="41"/>
      <c r="F35" s="41">
        <v>10019</v>
      </c>
      <c r="G35" s="41" t="s">
        <v>49</v>
      </c>
      <c r="H35" s="41">
        <v>1</v>
      </c>
      <c r="I35" s="41">
        <v>0</v>
      </c>
      <c r="J35" s="41" t="str">
        <f>VLOOKUP(A35,'Table with Jurisdictions'!$A$4:$Q$129,17,0)</f>
        <v>San Clemente</v>
      </c>
      <c r="K35" s="41" t="s">
        <v>50</v>
      </c>
      <c r="L35" s="41"/>
      <c r="M35" s="41" t="s">
        <v>180</v>
      </c>
      <c r="N35" s="41">
        <v>9434.4201411382492</v>
      </c>
      <c r="O35" s="41">
        <v>3177215.6947509502</v>
      </c>
      <c r="P35" s="42">
        <v>224.73038354367301</v>
      </c>
      <c r="Q35" s="41">
        <v>58</v>
      </c>
      <c r="R35" s="41">
        <v>58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100</v>
      </c>
      <c r="AD35" s="41">
        <v>0</v>
      </c>
      <c r="AE35" s="41">
        <v>2</v>
      </c>
      <c r="AF35" s="41">
        <v>0.6</v>
      </c>
      <c r="AG35" s="41">
        <v>2.5000000000000001E-2</v>
      </c>
      <c r="AH35" s="41">
        <v>1.25</v>
      </c>
      <c r="AI35" s="41">
        <v>1.0200000000000001E-2</v>
      </c>
      <c r="AJ35" s="41">
        <v>2.2950000000000002E-2</v>
      </c>
      <c r="AK35" s="53">
        <f t="shared" ref="AK35:AK66" si="5">P35*Q35/100</f>
        <v>130.34362245533035</v>
      </c>
      <c r="AL35" s="43">
        <v>1.6574999999999999E-2</v>
      </c>
      <c r="AM35" s="43">
        <f>IF(ISBLANK(AT35),AL35*'ratio of flow'!$D$1,AT35)</f>
        <v>9.9000000000000005E-2</v>
      </c>
      <c r="AN35" s="44" t="s">
        <v>52</v>
      </c>
      <c r="AO35" s="44"/>
      <c r="AP35" s="44" t="s">
        <v>53</v>
      </c>
      <c r="AQ35" s="44" t="s">
        <v>54</v>
      </c>
      <c r="AR35" s="45"/>
      <c r="AS35" s="45"/>
      <c r="AT35" s="45">
        <v>9.9000000000000005E-2</v>
      </c>
      <c r="AU35" s="45"/>
      <c r="AV35" s="45"/>
      <c r="AW35" s="45"/>
      <c r="AX35" s="45">
        <v>3.9E-2</v>
      </c>
      <c r="AY35" s="45">
        <v>0.19900000000000001</v>
      </c>
      <c r="AZ35" s="45"/>
      <c r="BA35" s="54">
        <v>2.0101010100000001</v>
      </c>
      <c r="BB35" s="54">
        <v>0.393939394</v>
      </c>
      <c r="BC35" s="41"/>
      <c r="BD35" s="41"/>
      <c r="BE35" s="41"/>
      <c r="BF35" s="41"/>
      <c r="BG35" s="41"/>
      <c r="BH35" s="41"/>
      <c r="BI35" s="41"/>
      <c r="BJ35" s="41"/>
      <c r="BK35" s="46">
        <f>IFERROR(VLOOKUP(AQ35,'Scoring and Weighting'!$B$10:$C$12,2,FALSE),'Scoring and Weighting'!$C$13)</f>
        <v>100</v>
      </c>
      <c r="BL35" s="46">
        <f>VLOOKUP(AM35,'Scoring and Weighting'!$C$19:$F$23,4)</f>
        <v>70</v>
      </c>
      <c r="BM35" s="47">
        <f t="shared" si="3"/>
        <v>39.393939400000001</v>
      </c>
      <c r="BN35" s="46">
        <f>IFERROR(VLOOKUP('Summary Table for Print'!AK35,'Scoring and Weighting'!$C$35:$F$39,4,1),30)</f>
        <v>50</v>
      </c>
      <c r="BO35" s="46">
        <f t="shared" ref="BO35:BO66" si="6">IF(AND(AE35&gt;1,AT35&gt;0,ISTEXT(AN35)),100,IF(AND(AT35&gt;0,ISTEXT(AN35)),80,IF(AND(AE35&gt;1,ISTEXT(AN35)),60,IF(AE35&gt;1,40,20))))</f>
        <v>100</v>
      </c>
      <c r="BP35" s="47">
        <f>IFERROR(VLOOKUP(AN35,'Scoring and Weighting'!$B$63:$C$65,2,FALSE),1)</f>
        <v>1</v>
      </c>
      <c r="BQ35" s="49">
        <f>BK35*'Scoring and Weighting'!$C$55*'Summary Table for Print'!BP35</f>
        <v>25</v>
      </c>
      <c r="BR35" s="49">
        <f>BL35*BP35*'Scoring and Weighting'!$C$56</f>
        <v>17.5</v>
      </c>
      <c r="BS35" s="49">
        <f>BP35*BM35*'Scoring and Weighting'!$C$57</f>
        <v>9.8484848500000002</v>
      </c>
      <c r="BT35" s="49">
        <f>BP35*BN35*'Scoring and Weighting'!$C$58</f>
        <v>5</v>
      </c>
      <c r="BU35" s="49">
        <f>BP35*BO35*'Scoring and Weighting'!$C$59</f>
        <v>15</v>
      </c>
      <c r="BV35" s="50">
        <f t="shared" si="4"/>
        <v>72.348484850000006</v>
      </c>
    </row>
    <row r="36" spans="1:74" x14ac:dyDescent="0.25">
      <c r="A36" s="41" t="s">
        <v>196</v>
      </c>
      <c r="B36" s="41"/>
      <c r="C36" s="41">
        <v>60</v>
      </c>
      <c r="D36" s="41"/>
      <c r="E36" s="41"/>
      <c r="F36" s="41">
        <v>728</v>
      </c>
      <c r="G36" s="41" t="s">
        <v>95</v>
      </c>
      <c r="H36" s="41">
        <v>1</v>
      </c>
      <c r="I36" s="41">
        <v>0</v>
      </c>
      <c r="J36" s="41" t="str">
        <f>VLOOKUP(A36,'Table with Jurisdictions'!$A$4:$Q$129,17,0)</f>
        <v>Laguna Niguel</v>
      </c>
      <c r="K36" s="41" t="s">
        <v>50</v>
      </c>
      <c r="L36" s="41"/>
      <c r="M36" s="41" t="s">
        <v>84</v>
      </c>
      <c r="N36" s="41">
        <v>8018.8700403862204</v>
      </c>
      <c r="O36" s="41">
        <v>1076962.10454356</v>
      </c>
      <c r="P36" s="42">
        <v>137.80531846492599</v>
      </c>
      <c r="Q36" s="41">
        <v>31</v>
      </c>
      <c r="R36" s="41">
        <v>31</v>
      </c>
      <c r="S36" s="41">
        <v>0</v>
      </c>
      <c r="T36" s="41">
        <v>0</v>
      </c>
      <c r="U36" s="41">
        <v>0</v>
      </c>
      <c r="V36" s="41">
        <v>0</v>
      </c>
      <c r="W36" s="41">
        <v>100</v>
      </c>
      <c r="X36" s="41">
        <v>0</v>
      </c>
      <c r="Y36" s="41">
        <v>0</v>
      </c>
      <c r="Z36" s="41">
        <v>0</v>
      </c>
      <c r="AA36" s="41">
        <v>0</v>
      </c>
      <c r="AB36" s="41">
        <v>0</v>
      </c>
      <c r="AC36" s="41">
        <v>0</v>
      </c>
      <c r="AD36" s="41">
        <v>0</v>
      </c>
      <c r="AE36" s="41">
        <v>2</v>
      </c>
      <c r="AF36" s="41">
        <v>0.47499999999999998</v>
      </c>
      <c r="AG36" s="41">
        <v>3.5000000000000003E-2</v>
      </c>
      <c r="AH36" s="41">
        <v>1.45</v>
      </c>
      <c r="AI36" s="41">
        <v>6.3749999999999996E-3</v>
      </c>
      <c r="AJ36" s="41">
        <v>3.6720000000000003E-2</v>
      </c>
      <c r="AK36" s="53">
        <f t="shared" si="5"/>
        <v>42.719648724127055</v>
      </c>
      <c r="AL36" s="43">
        <v>2.1547500000000001E-2</v>
      </c>
      <c r="AM36" s="43">
        <f>IF(ISBLANK(AT36),AL36*'ratio of flow'!$D$1,AT36)</f>
        <v>0.123</v>
      </c>
      <c r="AN36" s="44"/>
      <c r="AO36" s="44"/>
      <c r="AP36" s="44"/>
      <c r="AQ36" s="44"/>
      <c r="AR36" s="45"/>
      <c r="AS36" s="45"/>
      <c r="AT36" s="45">
        <v>0.123</v>
      </c>
      <c r="AU36" s="45"/>
      <c r="AV36" s="45"/>
      <c r="AW36" s="45"/>
      <c r="AX36" s="45">
        <v>0</v>
      </c>
      <c r="AY36" s="45">
        <v>0.223</v>
      </c>
      <c r="AZ36" s="45"/>
      <c r="BA36" s="54">
        <v>1.8130081300000001</v>
      </c>
      <c r="BB36" s="54">
        <v>0</v>
      </c>
      <c r="BC36" s="41"/>
      <c r="BD36" s="41"/>
      <c r="BE36" s="41"/>
      <c r="BF36" s="41"/>
      <c r="BG36" s="41"/>
      <c r="BH36" s="41"/>
      <c r="BI36" s="41"/>
      <c r="BJ36" s="41"/>
      <c r="BK36" s="46">
        <f>IFERROR(VLOOKUP(AQ36,'Scoring and Weighting'!$B$10:$C$12,2,FALSE),'Scoring and Weighting'!$C$13)</f>
        <v>70</v>
      </c>
      <c r="BL36" s="46">
        <f>VLOOKUP(AM36,'Scoring and Weighting'!$C$19:$F$23,4)</f>
        <v>70</v>
      </c>
      <c r="BM36" s="47">
        <f t="shared" si="3"/>
        <v>0</v>
      </c>
      <c r="BN36" s="46">
        <f>IFERROR(VLOOKUP('Summary Table for Print'!AK36,'Scoring and Weighting'!$C$35:$F$39,4,1),30)</f>
        <v>30</v>
      </c>
      <c r="BO36" s="46">
        <f t="shared" si="6"/>
        <v>40</v>
      </c>
      <c r="BP36" s="47">
        <f>IFERROR(VLOOKUP(AN36,'Scoring and Weighting'!$B$63:$C$65,2,FALSE),1)</f>
        <v>1</v>
      </c>
      <c r="BQ36" s="49">
        <f>BK36*'Scoring and Weighting'!$C$55*'Summary Table for Print'!BP36</f>
        <v>17.5</v>
      </c>
      <c r="BR36" s="49">
        <f>BL36*BP36*'Scoring and Weighting'!$C$56</f>
        <v>17.5</v>
      </c>
      <c r="BS36" s="49">
        <f>BP36*BM36*'Scoring and Weighting'!$C$57</f>
        <v>0</v>
      </c>
      <c r="BT36" s="49">
        <f>BP36*BN36*'Scoring and Weighting'!$C$58</f>
        <v>3</v>
      </c>
      <c r="BU36" s="49">
        <f>BP36*BO36*'Scoring and Weighting'!$C$59</f>
        <v>6</v>
      </c>
      <c r="BV36" s="50">
        <f t="shared" si="4"/>
        <v>44</v>
      </c>
    </row>
    <row r="37" spans="1:74" x14ac:dyDescent="0.25">
      <c r="A37" s="41" t="s">
        <v>85</v>
      </c>
      <c r="B37" s="41" t="s">
        <v>147</v>
      </c>
      <c r="C37" s="41">
        <v>24</v>
      </c>
      <c r="D37" s="41"/>
      <c r="E37" s="41"/>
      <c r="F37" s="41">
        <v>11019</v>
      </c>
      <c r="G37" s="41" t="s">
        <v>148</v>
      </c>
      <c r="H37" s="41">
        <v>1</v>
      </c>
      <c r="I37" s="41">
        <v>0</v>
      </c>
      <c r="J37" s="41" t="str">
        <f>VLOOKUP(A37,'Table with Jurisdictions'!$A$4:$Q$129,17,0)</f>
        <v>Laguna Niguel</v>
      </c>
      <c r="K37" s="41" t="s">
        <v>50</v>
      </c>
      <c r="L37" s="41"/>
      <c r="M37" s="41" t="s">
        <v>84</v>
      </c>
      <c r="N37" s="41">
        <v>1639.7347548939699</v>
      </c>
      <c r="O37" s="41">
        <v>163738.67833498999</v>
      </c>
      <c r="P37" s="42">
        <v>512.43104875177801</v>
      </c>
      <c r="Q37" s="41">
        <v>81</v>
      </c>
      <c r="R37" s="41">
        <v>76</v>
      </c>
      <c r="S37" s="41">
        <v>0</v>
      </c>
      <c r="T37" s="41">
        <v>0</v>
      </c>
      <c r="U37" s="41">
        <v>0</v>
      </c>
      <c r="V37" s="41">
        <v>0</v>
      </c>
      <c r="W37" s="41">
        <v>100</v>
      </c>
      <c r="X37" s="41">
        <v>0</v>
      </c>
      <c r="Y37" s="41">
        <v>0</v>
      </c>
      <c r="Z37" s="41">
        <v>0</v>
      </c>
      <c r="AA37" s="41">
        <v>0</v>
      </c>
      <c r="AB37" s="41">
        <v>0</v>
      </c>
      <c r="AC37" s="41">
        <v>0</v>
      </c>
      <c r="AD37" s="41">
        <v>0</v>
      </c>
      <c r="AE37" s="41">
        <v>3</v>
      </c>
      <c r="AF37" s="41">
        <v>0.95</v>
      </c>
      <c r="AG37" s="41">
        <v>2.8333333333332999E-2</v>
      </c>
      <c r="AH37" s="41">
        <v>3.1495726495726499</v>
      </c>
      <c r="AI37" s="41">
        <v>1.625625E-2</v>
      </c>
      <c r="AJ37" s="41">
        <v>0.172615384615385</v>
      </c>
      <c r="AK37" s="53">
        <f t="shared" si="5"/>
        <v>415.06914948894018</v>
      </c>
      <c r="AL37" s="43">
        <v>8.8457211538462005E-2</v>
      </c>
      <c r="AM37" s="43">
        <f>IF(ISBLANK(AT37),AL37*'ratio of flow'!$D$1,AT37)</f>
        <v>0.13300000000000001</v>
      </c>
      <c r="AN37" s="44" t="s">
        <v>52</v>
      </c>
      <c r="AO37" s="44" t="s">
        <v>53</v>
      </c>
      <c r="AP37" s="44" t="s">
        <v>53</v>
      </c>
      <c r="AQ37" s="44" t="s">
        <v>69</v>
      </c>
      <c r="AR37" s="45"/>
      <c r="AS37" s="45"/>
      <c r="AT37" s="45">
        <v>0.13300000000000001</v>
      </c>
      <c r="AU37" s="45"/>
      <c r="AV37" s="45"/>
      <c r="AW37" s="45"/>
      <c r="AX37" s="45">
        <v>7.2999999999999995E-2</v>
      </c>
      <c r="AY37" s="45">
        <v>0.22900000000000001</v>
      </c>
      <c r="AZ37" s="45"/>
      <c r="BA37" s="54">
        <v>1.721804511</v>
      </c>
      <c r="BB37" s="54">
        <v>0.54887218000000004</v>
      </c>
      <c r="BC37" s="41"/>
      <c r="BD37" s="41"/>
      <c r="BE37" s="41"/>
      <c r="BF37" s="41"/>
      <c r="BG37" s="41"/>
      <c r="BH37" s="41"/>
      <c r="BI37" s="41"/>
      <c r="BJ37" s="41"/>
      <c r="BK37" s="46">
        <f>IFERROR(VLOOKUP(AQ37,'Scoring and Weighting'!$B$10:$C$12,2,FALSE),'Scoring and Weighting'!$C$13)</f>
        <v>80</v>
      </c>
      <c r="BL37" s="46">
        <f>VLOOKUP(AM37,'Scoring and Weighting'!$C$19:$F$23,4)</f>
        <v>90</v>
      </c>
      <c r="BM37" s="47">
        <f t="shared" si="3"/>
        <v>54.887218000000004</v>
      </c>
      <c r="BN37" s="46">
        <f>IFERROR(VLOOKUP('Summary Table for Print'!AK37,'Scoring and Weighting'!$C$35:$F$39,4,1),30)</f>
        <v>90</v>
      </c>
      <c r="BO37" s="46">
        <f t="shared" si="6"/>
        <v>100</v>
      </c>
      <c r="BP37" s="47">
        <f>IFERROR(VLOOKUP(AN37,'Scoring and Weighting'!$B$63:$C$65,2,FALSE),1)</f>
        <v>1</v>
      </c>
      <c r="BQ37" s="49">
        <f>BK37*'Scoring and Weighting'!$C$55*'Summary Table for Print'!BP37</f>
        <v>20</v>
      </c>
      <c r="BR37" s="49">
        <f>BL37*BP37*'Scoring and Weighting'!$C$56</f>
        <v>22.5</v>
      </c>
      <c r="BS37" s="49">
        <f>BP37*BM37*'Scoring and Weighting'!$C$57</f>
        <v>13.721804500000001</v>
      </c>
      <c r="BT37" s="49">
        <f>BP37*BN37*'Scoring and Weighting'!$C$58</f>
        <v>9</v>
      </c>
      <c r="BU37" s="49">
        <f>BP37*BO37*'Scoring and Weighting'!$C$59</f>
        <v>15</v>
      </c>
      <c r="BV37" s="50">
        <f t="shared" si="4"/>
        <v>80.221804500000005</v>
      </c>
    </row>
    <row r="38" spans="1:74" x14ac:dyDescent="0.25">
      <c r="A38" s="41" t="s">
        <v>80</v>
      </c>
      <c r="B38" s="41"/>
      <c r="C38" s="41">
        <v>36</v>
      </c>
      <c r="D38" s="41"/>
      <c r="E38" s="41"/>
      <c r="F38" s="41">
        <v>9377</v>
      </c>
      <c r="G38" s="41" t="s">
        <v>49</v>
      </c>
      <c r="H38" s="41">
        <v>1</v>
      </c>
      <c r="I38" s="41">
        <v>0</v>
      </c>
      <c r="J38" s="41" t="str">
        <f>VLOOKUP(A38,'Table with Jurisdictions'!$A$4:$Q$129,17,0)</f>
        <v>Multiple</v>
      </c>
      <c r="K38" s="41" t="s">
        <v>50</v>
      </c>
      <c r="L38" s="41"/>
      <c r="M38" s="41" t="s">
        <v>84</v>
      </c>
      <c r="N38" s="41">
        <v>6237.8938662394303</v>
      </c>
      <c r="O38" s="41">
        <v>1500498.79180891</v>
      </c>
      <c r="P38" s="42">
        <v>981.05690284121499</v>
      </c>
      <c r="Q38" s="41">
        <v>77</v>
      </c>
      <c r="R38" s="41">
        <v>70</v>
      </c>
      <c r="S38" s="41">
        <v>0</v>
      </c>
      <c r="T38" s="41">
        <v>29</v>
      </c>
      <c r="U38" s="41">
        <v>0</v>
      </c>
      <c r="V38" s="41">
        <v>0</v>
      </c>
      <c r="W38" s="41">
        <v>71</v>
      </c>
      <c r="X38" s="41">
        <v>0</v>
      </c>
      <c r="Y38" s="41">
        <v>0</v>
      </c>
      <c r="Z38" s="41">
        <v>0</v>
      </c>
      <c r="AA38" s="41">
        <v>0</v>
      </c>
      <c r="AB38" s="41">
        <v>0</v>
      </c>
      <c r="AC38" s="41">
        <v>0</v>
      </c>
      <c r="AD38" s="41">
        <v>0</v>
      </c>
      <c r="AE38" s="41">
        <v>2</v>
      </c>
      <c r="AF38" s="41">
        <v>1.9</v>
      </c>
      <c r="AG38" s="41">
        <v>0.09</v>
      </c>
      <c r="AH38" s="41">
        <v>2.3571428571428501</v>
      </c>
      <c r="AI38" s="41">
        <v>0.198171428571429</v>
      </c>
      <c r="AJ38" s="41">
        <v>0.53549999999999998</v>
      </c>
      <c r="AK38" s="53">
        <f t="shared" si="5"/>
        <v>755.41381518773562</v>
      </c>
      <c r="AL38" s="43">
        <v>0.36683571428571399</v>
      </c>
      <c r="AM38" s="43">
        <f>IF(ISBLANK(AT38),AL38*'ratio of flow'!$D$1,AT38)</f>
        <v>0.13700000000000001</v>
      </c>
      <c r="AN38" s="44"/>
      <c r="AO38" s="44"/>
      <c r="AP38" s="44"/>
      <c r="AQ38" s="44"/>
      <c r="AR38" s="45"/>
      <c r="AS38" s="45"/>
      <c r="AT38" s="45">
        <v>0.13700000000000001</v>
      </c>
      <c r="AU38" s="45"/>
      <c r="AV38" s="45"/>
      <c r="AW38" s="45"/>
      <c r="AX38" s="45">
        <v>7.8E-2</v>
      </c>
      <c r="AY38" s="45">
        <v>0.23899999999999999</v>
      </c>
      <c r="AZ38" s="45"/>
      <c r="BA38" s="54">
        <v>1.7445255470000001</v>
      </c>
      <c r="BB38" s="54">
        <v>0.56934306599999995</v>
      </c>
      <c r="BC38" s="41"/>
      <c r="BD38" s="41"/>
      <c r="BE38" s="41"/>
      <c r="BF38" s="41"/>
      <c r="BG38" s="41"/>
      <c r="BH38" s="41"/>
      <c r="BI38" s="41"/>
      <c r="BJ38" s="41"/>
      <c r="BK38" s="46">
        <f>IFERROR(VLOOKUP(AQ38,'Scoring and Weighting'!$B$10:$C$12,2,FALSE),'Scoring and Weighting'!$C$13)</f>
        <v>70</v>
      </c>
      <c r="BL38" s="46">
        <f>VLOOKUP(AM38,'Scoring and Weighting'!$C$19:$F$23,4)</f>
        <v>90</v>
      </c>
      <c r="BM38" s="47">
        <f t="shared" si="3"/>
        <v>56.934306599999992</v>
      </c>
      <c r="BN38" s="46">
        <f>IFERROR(VLOOKUP('Summary Table for Print'!AK38,'Scoring and Weighting'!$C$35:$F$39,4,1),30)</f>
        <v>90</v>
      </c>
      <c r="BO38" s="46">
        <f t="shared" si="6"/>
        <v>40</v>
      </c>
      <c r="BP38" s="47">
        <f>IFERROR(VLOOKUP(AN38,'Scoring and Weighting'!$B$63:$C$65,2,FALSE),1)</f>
        <v>1</v>
      </c>
      <c r="BQ38" s="49">
        <f>BK38*'Scoring and Weighting'!$C$55*'Summary Table for Print'!BP38</f>
        <v>17.5</v>
      </c>
      <c r="BR38" s="49">
        <f>BL38*BP38*'Scoring and Weighting'!$C$56</f>
        <v>22.5</v>
      </c>
      <c r="BS38" s="49">
        <f>BP38*BM38*'Scoring and Weighting'!$C$57</f>
        <v>14.233576649999998</v>
      </c>
      <c r="BT38" s="49">
        <f>BP38*BN38*'Scoring and Weighting'!$C$58</f>
        <v>9</v>
      </c>
      <c r="BU38" s="49">
        <f>BP38*BO38*'Scoring and Weighting'!$C$59</f>
        <v>6</v>
      </c>
      <c r="BV38" s="50">
        <f t="shared" si="4"/>
        <v>69.233576650000003</v>
      </c>
    </row>
    <row r="39" spans="1:74" x14ac:dyDescent="0.25">
      <c r="A39" s="41" t="s">
        <v>198</v>
      </c>
      <c r="B39" s="41"/>
      <c r="C39" s="41">
        <v>36</v>
      </c>
      <c r="D39" s="41"/>
      <c r="E39" s="41"/>
      <c r="F39" s="41">
        <v>9349</v>
      </c>
      <c r="G39" s="41" t="s">
        <v>49</v>
      </c>
      <c r="H39" s="41">
        <v>1</v>
      </c>
      <c r="I39" s="41">
        <v>0</v>
      </c>
      <c r="J39" s="41" t="str">
        <f>VLOOKUP(A39,'Table with Jurisdictions'!$A$4:$Q$129,17,0)</f>
        <v>Laguna Niguel</v>
      </c>
      <c r="K39" s="41" t="s">
        <v>50</v>
      </c>
      <c r="L39" s="41"/>
      <c r="M39" s="41" t="s">
        <v>84</v>
      </c>
      <c r="N39" s="41">
        <v>7585.0229518530996</v>
      </c>
      <c r="O39" s="41">
        <v>3036416.5595865799</v>
      </c>
      <c r="P39" s="42">
        <v>126.847249927589</v>
      </c>
      <c r="Q39" s="41">
        <v>71</v>
      </c>
      <c r="R39" s="41">
        <v>71</v>
      </c>
      <c r="S39" s="41">
        <v>0</v>
      </c>
      <c r="T39" s="41">
        <v>0</v>
      </c>
      <c r="U39" s="41">
        <v>0</v>
      </c>
      <c r="V39" s="41">
        <v>0</v>
      </c>
      <c r="W39" s="41">
        <v>100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3</v>
      </c>
      <c r="AF39" s="41">
        <v>1</v>
      </c>
      <c r="AG39" s="41">
        <v>6.6666666666666999E-2</v>
      </c>
      <c r="AH39" s="41">
        <v>1.56666666666666</v>
      </c>
      <c r="AI39" s="41">
        <v>1.9890000000000001E-2</v>
      </c>
      <c r="AJ39" s="41">
        <v>0.14280000000000001</v>
      </c>
      <c r="AK39" s="53">
        <f t="shared" si="5"/>
        <v>90.061547448588186</v>
      </c>
      <c r="AL39" s="43">
        <v>6.9529999999999995E-2</v>
      </c>
      <c r="AM39" s="43">
        <f>IF(ISBLANK(AT39),AL39*'ratio of flow'!$D$1,AT39)</f>
        <v>0.157</v>
      </c>
      <c r="AN39" s="44" t="s">
        <v>110</v>
      </c>
      <c r="AO39" s="44" t="s">
        <v>53</v>
      </c>
      <c r="AP39" s="44" t="s">
        <v>53</v>
      </c>
      <c r="AQ39" s="44" t="s">
        <v>114</v>
      </c>
      <c r="AR39" s="45"/>
      <c r="AS39" s="45"/>
      <c r="AT39" s="45">
        <v>0.157</v>
      </c>
      <c r="AU39" s="45"/>
      <c r="AV39" s="45"/>
      <c r="AW39" s="45"/>
      <c r="AX39" s="45">
        <v>8.3000000000000004E-2</v>
      </c>
      <c r="AY39" s="45">
        <v>0.88500000000000001</v>
      </c>
      <c r="AZ39" s="45"/>
      <c r="BA39" s="54">
        <v>5.6369426750000002</v>
      </c>
      <c r="BB39" s="54">
        <v>0.52866241999999997</v>
      </c>
      <c r="BC39" s="41"/>
      <c r="BD39" s="41"/>
      <c r="BE39" s="41"/>
      <c r="BF39" s="41"/>
      <c r="BG39" s="41"/>
      <c r="BH39" s="41"/>
      <c r="BI39" s="41"/>
      <c r="BJ39" s="41"/>
      <c r="BK39" s="46">
        <f>IFERROR(VLOOKUP(AQ39,'Scoring and Weighting'!$B$10:$C$12,2,FALSE),'Scoring and Weighting'!$C$13)</f>
        <v>60</v>
      </c>
      <c r="BL39" s="46">
        <f>VLOOKUP(AM39,'Scoring and Weighting'!$C$19:$F$23,4)</f>
        <v>90</v>
      </c>
      <c r="BM39" s="47">
        <f t="shared" si="3"/>
        <v>52.866242</v>
      </c>
      <c r="BN39" s="46">
        <f>IFERROR(VLOOKUP('Summary Table for Print'!AK39,'Scoring and Weighting'!$C$35:$F$39,4,1),30)</f>
        <v>30</v>
      </c>
      <c r="BO39" s="46">
        <f t="shared" si="6"/>
        <v>100</v>
      </c>
      <c r="BP39" s="47">
        <f>IFERROR(VLOOKUP(AN39,'Scoring and Weighting'!$B$63:$C$65,2,FALSE),1)</f>
        <v>0.5</v>
      </c>
      <c r="BQ39" s="49">
        <f>BK39*'Scoring and Weighting'!$C$55*'Summary Table for Print'!BP39</f>
        <v>7.5</v>
      </c>
      <c r="BR39" s="49">
        <f>BL39*BP39*'Scoring and Weighting'!$C$56</f>
        <v>11.25</v>
      </c>
      <c r="BS39" s="49">
        <f>BP39*BM39*'Scoring and Weighting'!$C$57</f>
        <v>6.60828025</v>
      </c>
      <c r="BT39" s="49">
        <f>BP39*BN39*'Scoring and Weighting'!$C$58</f>
        <v>1.5</v>
      </c>
      <c r="BU39" s="49">
        <f>BP39*BO39*'Scoring and Weighting'!$C$59</f>
        <v>7.5</v>
      </c>
      <c r="BV39" s="50">
        <f t="shared" si="4"/>
        <v>34.35828025</v>
      </c>
    </row>
    <row r="40" spans="1:74" x14ac:dyDescent="0.25">
      <c r="A40" s="41" t="s">
        <v>107</v>
      </c>
      <c r="B40" s="41"/>
      <c r="C40" s="41">
        <v>24</v>
      </c>
      <c r="D40" s="41"/>
      <c r="E40" s="41"/>
      <c r="F40" s="41">
        <v>9046</v>
      </c>
      <c r="G40" s="41" t="s">
        <v>49</v>
      </c>
      <c r="H40" s="41">
        <v>1</v>
      </c>
      <c r="I40" s="41">
        <v>0</v>
      </c>
      <c r="J40" s="41" t="str">
        <f>VLOOKUP(A40,'Table with Jurisdictions'!$A$4:$Q$129,17,0)</f>
        <v>Mission Viejo</v>
      </c>
      <c r="K40" s="41" t="s">
        <v>50</v>
      </c>
      <c r="L40" s="41"/>
      <c r="M40" s="41" t="s">
        <v>64</v>
      </c>
      <c r="N40" s="41">
        <v>6814.6149337881398</v>
      </c>
      <c r="O40" s="41">
        <v>1988325.5053361999</v>
      </c>
      <c r="P40" s="42">
        <v>505.30490247747002</v>
      </c>
      <c r="Q40" s="41">
        <v>72</v>
      </c>
      <c r="R40" s="41">
        <v>68</v>
      </c>
      <c r="S40" s="41">
        <v>0</v>
      </c>
      <c r="T40" s="41">
        <v>0</v>
      </c>
      <c r="U40" s="41">
        <v>0</v>
      </c>
      <c r="V40" s="41">
        <v>0</v>
      </c>
      <c r="W40" s="41">
        <v>0</v>
      </c>
      <c r="X40" s="41">
        <v>0</v>
      </c>
      <c r="Y40" s="41">
        <v>0</v>
      </c>
      <c r="Z40" s="41">
        <v>100</v>
      </c>
      <c r="AA40" s="41">
        <v>0</v>
      </c>
      <c r="AB40" s="41">
        <v>0</v>
      </c>
      <c r="AC40" s="41">
        <v>0</v>
      </c>
      <c r="AD40" s="41">
        <v>0</v>
      </c>
      <c r="AE40" s="41">
        <v>1</v>
      </c>
      <c r="AF40" s="41">
        <v>1.4</v>
      </c>
      <c r="AG40" s="41">
        <v>0.1</v>
      </c>
      <c r="AH40" s="41">
        <v>3</v>
      </c>
      <c r="AI40" s="41">
        <v>0.35699999999999998</v>
      </c>
      <c r="AJ40" s="41">
        <v>0.35699999999999998</v>
      </c>
      <c r="AK40" s="53">
        <f t="shared" si="5"/>
        <v>363.81952978377842</v>
      </c>
      <c r="AL40" s="43">
        <v>0.35699999999999998</v>
      </c>
      <c r="AM40" s="43">
        <f>IF(ISBLANK(AT40),AL40*'ratio of flow'!$D$1,AT40)</f>
        <v>0.191</v>
      </c>
      <c r="AN40" s="44" t="s">
        <v>110</v>
      </c>
      <c r="AO40" s="44" t="s">
        <v>53</v>
      </c>
      <c r="AP40" s="44" t="s">
        <v>53</v>
      </c>
      <c r="AQ40" s="44" t="s">
        <v>69</v>
      </c>
      <c r="AR40" s="45"/>
      <c r="AS40" s="45"/>
      <c r="AT40" s="45">
        <v>0.191</v>
      </c>
      <c r="AU40" s="45"/>
      <c r="AV40" s="45"/>
      <c r="AW40" s="45"/>
      <c r="AX40" s="45">
        <v>9.2999999999999999E-2</v>
      </c>
      <c r="AY40" s="45">
        <v>0.34100000000000003</v>
      </c>
      <c r="AZ40" s="45"/>
      <c r="BA40" s="54">
        <v>1.7853403139999999</v>
      </c>
      <c r="BB40" s="54">
        <v>0.48691099500000001</v>
      </c>
      <c r="BC40" s="41"/>
      <c r="BD40" s="41"/>
      <c r="BE40" s="41"/>
      <c r="BF40" s="41"/>
      <c r="BG40" s="41"/>
      <c r="BH40" s="41"/>
      <c r="BI40" s="41"/>
      <c r="BJ40" s="41"/>
      <c r="BK40" s="46">
        <f>IFERROR(VLOOKUP(AQ40,'Scoring and Weighting'!$B$10:$C$12,2,FALSE),'Scoring and Weighting'!$C$13)</f>
        <v>80</v>
      </c>
      <c r="BL40" s="46">
        <f>VLOOKUP(AM40,'Scoring and Weighting'!$C$19:$F$23,4)</f>
        <v>90</v>
      </c>
      <c r="BM40" s="47">
        <f t="shared" si="3"/>
        <v>48.6910995</v>
      </c>
      <c r="BN40" s="46">
        <f>IFERROR(VLOOKUP('Summary Table for Print'!AK40,'Scoring and Weighting'!$C$35:$F$39,4,1),30)</f>
        <v>90</v>
      </c>
      <c r="BO40" s="46">
        <f t="shared" si="6"/>
        <v>80</v>
      </c>
      <c r="BP40" s="47">
        <f>IFERROR(VLOOKUP(AN40,'Scoring and Weighting'!$B$63:$C$65,2,FALSE),1)</f>
        <v>0.5</v>
      </c>
      <c r="BQ40" s="49">
        <f>BK40*'Scoring and Weighting'!$C$55*'Summary Table for Print'!BP40</f>
        <v>10</v>
      </c>
      <c r="BR40" s="49">
        <f>BL40*BP40*'Scoring and Weighting'!$C$56</f>
        <v>11.25</v>
      </c>
      <c r="BS40" s="49">
        <f>BP40*BM40*'Scoring and Weighting'!$C$57</f>
        <v>6.0863874375</v>
      </c>
      <c r="BT40" s="49">
        <f>BP40*BN40*'Scoring and Weighting'!$C$58</f>
        <v>4.5</v>
      </c>
      <c r="BU40" s="49">
        <f>BP40*BO40*'Scoring and Weighting'!$C$59</f>
        <v>6</v>
      </c>
      <c r="BV40" s="50">
        <f t="shared" si="4"/>
        <v>37.836387437500001</v>
      </c>
    </row>
    <row r="41" spans="1:74" x14ac:dyDescent="0.25">
      <c r="A41" s="41" t="s">
        <v>521</v>
      </c>
      <c r="B41" s="41" t="s">
        <v>154</v>
      </c>
      <c r="C41" s="41">
        <v>84</v>
      </c>
      <c r="D41" s="41"/>
      <c r="E41" s="41"/>
      <c r="F41" s="41">
        <v>9008</v>
      </c>
      <c r="G41" s="41" t="s">
        <v>49</v>
      </c>
      <c r="H41" s="41">
        <v>1</v>
      </c>
      <c r="I41" s="41">
        <v>0</v>
      </c>
      <c r="J41" s="41" t="str">
        <f>VLOOKUP(A41,'Table with Jurisdictions'!$A$4:$Q$129,17,0)</f>
        <v>San Clemente</v>
      </c>
      <c r="K41" s="41" t="s">
        <v>50</v>
      </c>
      <c r="L41" s="41"/>
      <c r="M41" s="41" t="s">
        <v>180</v>
      </c>
      <c r="N41" s="41">
        <v>13937.690007036599</v>
      </c>
      <c r="O41" s="41">
        <v>9216051.5395057593</v>
      </c>
      <c r="P41" s="42">
        <v>199.86814554726499</v>
      </c>
      <c r="Q41" s="41">
        <v>65</v>
      </c>
      <c r="R41" s="41">
        <v>1</v>
      </c>
      <c r="S41" s="41">
        <v>0</v>
      </c>
      <c r="T41" s="41">
        <v>0</v>
      </c>
      <c r="U41" s="41">
        <v>0</v>
      </c>
      <c r="V41" s="41">
        <v>0</v>
      </c>
      <c r="W41" s="41">
        <v>0</v>
      </c>
      <c r="X41" s="41">
        <v>0</v>
      </c>
      <c r="Y41" s="41">
        <v>0</v>
      </c>
      <c r="Z41" s="41">
        <v>0</v>
      </c>
      <c r="AA41" s="41">
        <v>0</v>
      </c>
      <c r="AB41" s="41">
        <v>0</v>
      </c>
      <c r="AC41" s="41">
        <v>100</v>
      </c>
      <c r="AD41" s="41">
        <v>0</v>
      </c>
      <c r="AE41" s="41"/>
      <c r="AF41" s="41"/>
      <c r="AG41" s="41"/>
      <c r="AH41" s="41"/>
      <c r="AI41" s="41"/>
      <c r="AJ41" s="41"/>
      <c r="AK41" s="53">
        <f t="shared" si="5"/>
        <v>129.91429460572223</v>
      </c>
      <c r="AL41" s="43"/>
      <c r="AM41" s="43">
        <f>IF(ISBLANK(AT41),AL41*'ratio of flow'!$D$1,AT41)</f>
        <v>0.19500000000000001</v>
      </c>
      <c r="AN41" s="44"/>
      <c r="AO41" s="44"/>
      <c r="AP41" s="44"/>
      <c r="AQ41" s="44"/>
      <c r="AR41" s="45"/>
      <c r="AS41" s="45"/>
      <c r="AT41" s="45">
        <v>0.19500000000000001</v>
      </c>
      <c r="AU41" s="45"/>
      <c r="AV41" s="45"/>
      <c r="AW41" s="45"/>
      <c r="AX41" s="45">
        <v>5.6000000000000001E-2</v>
      </c>
      <c r="AY41" s="45">
        <v>0.57699999999999996</v>
      </c>
      <c r="AZ41" s="45"/>
      <c r="BA41" s="54">
        <v>2.9589743589999999</v>
      </c>
      <c r="BB41" s="54">
        <v>0.28717948700000001</v>
      </c>
      <c r="BC41" s="41"/>
      <c r="BD41" s="41"/>
      <c r="BE41" s="41"/>
      <c r="BF41" s="41"/>
      <c r="BG41" s="41"/>
      <c r="BH41" s="41"/>
      <c r="BI41" s="41"/>
      <c r="BJ41" s="41"/>
      <c r="BK41" s="46">
        <f>IFERROR(VLOOKUP(AQ41,'Scoring and Weighting'!$B$10:$C$12,2,FALSE),'Scoring and Weighting'!$C$13)</f>
        <v>70</v>
      </c>
      <c r="BL41" s="46">
        <f>VLOOKUP(AM41,'Scoring and Weighting'!$C$19:$F$23,4)</f>
        <v>90</v>
      </c>
      <c r="BM41" s="47">
        <f t="shared" si="3"/>
        <v>28.717948700000001</v>
      </c>
      <c r="BN41" s="46">
        <f>IFERROR(VLOOKUP('Summary Table for Print'!AK41,'Scoring and Weighting'!$C$35:$F$39,4,1),30)</f>
        <v>30</v>
      </c>
      <c r="BO41" s="46">
        <f t="shared" si="6"/>
        <v>20</v>
      </c>
      <c r="BP41" s="47">
        <f>IFERROR(VLOOKUP(AN41,'Scoring and Weighting'!$B$63:$C$65,2,FALSE),1)</f>
        <v>1</v>
      </c>
      <c r="BQ41" s="49">
        <f>BK41*'Scoring and Weighting'!$C$55*'Summary Table for Print'!BP41</f>
        <v>17.5</v>
      </c>
      <c r="BR41" s="49">
        <f>BL41*BP41*'Scoring and Weighting'!$C$56</f>
        <v>22.5</v>
      </c>
      <c r="BS41" s="49">
        <f>BP41*BM41*'Scoring and Weighting'!$C$57</f>
        <v>7.1794871750000002</v>
      </c>
      <c r="BT41" s="49">
        <f>BP41*BN41*'Scoring and Weighting'!$C$58</f>
        <v>3</v>
      </c>
      <c r="BU41" s="49">
        <f>BP41*BO41*'Scoring and Weighting'!$C$59</f>
        <v>3</v>
      </c>
      <c r="BV41" s="50">
        <f t="shared" si="4"/>
        <v>53.179487174999998</v>
      </c>
    </row>
    <row r="42" spans="1:74" x14ac:dyDescent="0.25">
      <c r="A42" s="41" t="s">
        <v>112</v>
      </c>
      <c r="B42" s="41" t="s">
        <v>156</v>
      </c>
      <c r="C42" s="41">
        <v>48</v>
      </c>
      <c r="D42" s="41"/>
      <c r="E42" s="41"/>
      <c r="F42" s="41">
        <v>10017</v>
      </c>
      <c r="G42" s="41" t="s">
        <v>49</v>
      </c>
      <c r="H42" s="41">
        <v>1</v>
      </c>
      <c r="I42" s="41">
        <v>0</v>
      </c>
      <c r="J42" s="41" t="str">
        <f>VLOOKUP(A42,'Table with Jurisdictions'!$A$4:$Q$129,17,0)</f>
        <v>Mission Viejo</v>
      </c>
      <c r="K42" s="41" t="s">
        <v>50</v>
      </c>
      <c r="L42" s="41"/>
      <c r="M42" s="41" t="s">
        <v>64</v>
      </c>
      <c r="N42" s="41">
        <v>3698.95642971489</v>
      </c>
      <c r="O42" s="41">
        <v>758924.66193973296</v>
      </c>
      <c r="P42" s="42">
        <v>423.191762478675</v>
      </c>
      <c r="Q42" s="41">
        <v>89</v>
      </c>
      <c r="R42" s="41">
        <v>82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100</v>
      </c>
      <c r="AA42" s="41">
        <v>0</v>
      </c>
      <c r="AB42" s="41">
        <v>0</v>
      </c>
      <c r="AC42" s="41">
        <v>0</v>
      </c>
      <c r="AD42" s="41">
        <v>0</v>
      </c>
      <c r="AE42" s="41">
        <v>3</v>
      </c>
      <c r="AF42" s="41">
        <v>0.96666666666666701</v>
      </c>
      <c r="AG42" s="41">
        <v>0.09</v>
      </c>
      <c r="AH42" s="41">
        <v>6</v>
      </c>
      <c r="AI42" s="41">
        <v>0.33915000000000001</v>
      </c>
      <c r="AJ42" s="41">
        <v>0.56100000000000005</v>
      </c>
      <c r="AK42" s="53">
        <f t="shared" si="5"/>
        <v>376.64066860602077</v>
      </c>
      <c r="AL42" s="43">
        <v>0.44455</v>
      </c>
      <c r="AM42" s="43">
        <f>IF(ISBLANK(AT42),AL42*'ratio of flow'!$D$1,AT42)</f>
        <v>0.20300000000000001</v>
      </c>
      <c r="AN42" s="44" t="s">
        <v>52</v>
      </c>
      <c r="AO42" s="44" t="s">
        <v>53</v>
      </c>
      <c r="AP42" s="44" t="s">
        <v>53</v>
      </c>
      <c r="AQ42" s="44" t="s">
        <v>114</v>
      </c>
      <c r="AR42" s="45"/>
      <c r="AS42" s="45"/>
      <c r="AT42" s="45">
        <v>0.20300000000000001</v>
      </c>
      <c r="AU42" s="45"/>
      <c r="AV42" s="45"/>
      <c r="AW42" s="45"/>
      <c r="AX42" s="45">
        <v>0.11899999999999999</v>
      </c>
      <c r="AY42" s="45">
        <v>0.33500000000000002</v>
      </c>
      <c r="AZ42" s="45"/>
      <c r="BA42" s="54">
        <v>1.650246305</v>
      </c>
      <c r="BB42" s="54">
        <v>0.58620689699999995</v>
      </c>
      <c r="BC42" s="41"/>
      <c r="BD42" s="41"/>
      <c r="BE42" s="41"/>
      <c r="BF42" s="41"/>
      <c r="BG42" s="41"/>
      <c r="BH42" s="41"/>
      <c r="BI42" s="41"/>
      <c r="BJ42" s="41"/>
      <c r="BK42" s="46">
        <f>IFERROR(VLOOKUP(AQ42,'Scoring and Weighting'!$B$10:$C$12,2,FALSE),'Scoring and Weighting'!$C$13)</f>
        <v>60</v>
      </c>
      <c r="BL42" s="46">
        <f>VLOOKUP(AM42,'Scoring and Weighting'!$C$19:$F$23,4)</f>
        <v>90</v>
      </c>
      <c r="BM42" s="47">
        <f t="shared" si="3"/>
        <v>58.620689699999993</v>
      </c>
      <c r="BN42" s="46">
        <f>IFERROR(VLOOKUP('Summary Table for Print'!AK42,'Scoring and Weighting'!$C$35:$F$39,4,1),30)</f>
        <v>90</v>
      </c>
      <c r="BO42" s="46">
        <f t="shared" si="6"/>
        <v>100</v>
      </c>
      <c r="BP42" s="47">
        <f>IFERROR(VLOOKUP(AN42,'Scoring and Weighting'!$B$63:$C$65,2,FALSE),1)</f>
        <v>1</v>
      </c>
      <c r="BQ42" s="49">
        <f>BK42*'Scoring and Weighting'!$C$55*'Summary Table for Print'!BP42</f>
        <v>15</v>
      </c>
      <c r="BR42" s="49">
        <f>BL42*BP42*'Scoring and Weighting'!$C$56</f>
        <v>22.5</v>
      </c>
      <c r="BS42" s="49">
        <f>BP42*BM42*'Scoring and Weighting'!$C$57</f>
        <v>14.655172424999998</v>
      </c>
      <c r="BT42" s="49">
        <f>BP42*BN42*'Scoring and Weighting'!$C$58</f>
        <v>9</v>
      </c>
      <c r="BU42" s="49">
        <f>BP42*BO42*'Scoring and Weighting'!$C$59</f>
        <v>15</v>
      </c>
      <c r="BV42" s="50">
        <f t="shared" si="4"/>
        <v>76.155172424999989</v>
      </c>
    </row>
    <row r="43" spans="1:74" x14ac:dyDescent="0.25">
      <c r="A43" s="41" t="s">
        <v>77</v>
      </c>
      <c r="B43" s="41" t="s">
        <v>158</v>
      </c>
      <c r="C43" s="41">
        <v>54</v>
      </c>
      <c r="D43" s="41"/>
      <c r="E43" s="41"/>
      <c r="F43" s="41">
        <v>9224</v>
      </c>
      <c r="G43" s="41" t="s">
        <v>49</v>
      </c>
      <c r="H43" s="41">
        <v>1</v>
      </c>
      <c r="I43" s="41">
        <v>0</v>
      </c>
      <c r="J43" s="41" t="str">
        <f>VLOOKUP(A43,'Table with Jurisdictions'!$A$4:$Q$129,17,0)</f>
        <v>Multiple</v>
      </c>
      <c r="K43" s="41" t="s">
        <v>50</v>
      </c>
      <c r="L43" s="41"/>
      <c r="M43" s="41" t="s">
        <v>51</v>
      </c>
      <c r="N43" s="41">
        <v>14688.682923648201</v>
      </c>
      <c r="O43" s="41">
        <v>9690643.8780673593</v>
      </c>
      <c r="P43" s="42">
        <v>935.90125176455194</v>
      </c>
      <c r="Q43" s="41">
        <v>98</v>
      </c>
      <c r="R43" s="41">
        <v>66</v>
      </c>
      <c r="S43" s="41">
        <v>16</v>
      </c>
      <c r="T43" s="41">
        <v>0</v>
      </c>
      <c r="U43" s="41">
        <v>0</v>
      </c>
      <c r="V43" s="41">
        <v>21</v>
      </c>
      <c r="W43" s="41">
        <v>0</v>
      </c>
      <c r="X43" s="41">
        <v>41</v>
      </c>
      <c r="Y43" s="41">
        <v>23</v>
      </c>
      <c r="Z43" s="41">
        <v>0</v>
      </c>
      <c r="AA43" s="41">
        <v>0</v>
      </c>
      <c r="AB43" s="41">
        <v>0</v>
      </c>
      <c r="AC43" s="41">
        <v>0</v>
      </c>
      <c r="AD43" s="41">
        <v>0</v>
      </c>
      <c r="AE43" s="41">
        <v>5</v>
      </c>
      <c r="AF43" s="41">
        <v>3.99</v>
      </c>
      <c r="AG43" s="41">
        <v>0.51800000000000002</v>
      </c>
      <c r="AH43" s="41">
        <v>0.24087613535889399</v>
      </c>
      <c r="AI43" s="41">
        <v>0.201889655172414</v>
      </c>
      <c r="AJ43" s="41">
        <v>0.51</v>
      </c>
      <c r="AK43" s="53">
        <f t="shared" si="5"/>
        <v>917.18322672926092</v>
      </c>
      <c r="AL43" s="43">
        <v>0.38633403359858498</v>
      </c>
      <c r="AM43" s="43">
        <f>IF(ISBLANK(AT43),AL43*'ratio of flow'!$D$1,AT43)</f>
        <v>0.20799999999999999</v>
      </c>
      <c r="AN43" s="44" t="s">
        <v>52</v>
      </c>
      <c r="AO43" s="44" t="s">
        <v>53</v>
      </c>
      <c r="AP43" s="44" t="s">
        <v>53</v>
      </c>
      <c r="AQ43" s="44" t="s">
        <v>54</v>
      </c>
      <c r="AR43" s="45"/>
      <c r="AS43" s="45"/>
      <c r="AT43" s="45">
        <v>0.20799999999999999</v>
      </c>
      <c r="AU43" s="45"/>
      <c r="AV43" s="45"/>
      <c r="AW43" s="45"/>
      <c r="AX43" s="45">
        <v>0.1915</v>
      </c>
      <c r="AY43" s="45">
        <v>0.24349999999999999</v>
      </c>
      <c r="AZ43" s="45"/>
      <c r="BA43" s="54">
        <v>1.170673077</v>
      </c>
      <c r="BB43" s="54">
        <v>0.92067307700000001</v>
      </c>
      <c r="BC43" s="41"/>
      <c r="BD43" s="41"/>
      <c r="BE43" s="41"/>
      <c r="BF43" s="41"/>
      <c r="BG43" s="41"/>
      <c r="BH43" s="41"/>
      <c r="BI43" s="41"/>
      <c r="BJ43" s="41"/>
      <c r="BK43" s="46">
        <f>IFERROR(VLOOKUP(AQ43,'Scoring and Weighting'!$B$10:$C$12,2,FALSE),'Scoring and Weighting'!$C$13)</f>
        <v>100</v>
      </c>
      <c r="BL43" s="46">
        <f>VLOOKUP(AM43,'Scoring and Weighting'!$C$19:$F$23,4)</f>
        <v>100</v>
      </c>
      <c r="BM43" s="47">
        <f t="shared" si="3"/>
        <v>92.067307700000001</v>
      </c>
      <c r="BN43" s="46">
        <f>IFERROR(VLOOKUP('Summary Table for Print'!AK43,'Scoring and Weighting'!$C$35:$F$39,4,1),30)</f>
        <v>100</v>
      </c>
      <c r="BO43" s="46">
        <f t="shared" si="6"/>
        <v>100</v>
      </c>
      <c r="BP43" s="47">
        <f>IFERROR(VLOOKUP(AN43,'Scoring and Weighting'!$B$63:$C$65,2,FALSE),1)</f>
        <v>1</v>
      </c>
      <c r="BQ43" s="49">
        <f>BK43*'Scoring and Weighting'!$C$55*'Summary Table for Print'!BP43</f>
        <v>25</v>
      </c>
      <c r="BR43" s="49">
        <f>BL43*BP43*'Scoring and Weighting'!$C$56</f>
        <v>25</v>
      </c>
      <c r="BS43" s="49">
        <f>BP43*BM43*'Scoring and Weighting'!$C$57</f>
        <v>23.016826925</v>
      </c>
      <c r="BT43" s="49">
        <f>BP43*BN43*'Scoring and Weighting'!$C$58</f>
        <v>10</v>
      </c>
      <c r="BU43" s="49">
        <f>BP43*BO43*'Scoring and Weighting'!$C$59</f>
        <v>15</v>
      </c>
      <c r="BV43" s="50">
        <f t="shared" si="4"/>
        <v>98.016826925000004</v>
      </c>
    </row>
    <row r="44" spans="1:74" x14ac:dyDescent="0.25">
      <c r="A44" s="41" t="s">
        <v>56</v>
      </c>
      <c r="B44" s="41" t="s">
        <v>160</v>
      </c>
      <c r="C44" s="41">
        <v>54</v>
      </c>
      <c r="D44" s="41"/>
      <c r="E44" s="41"/>
      <c r="F44" s="41">
        <v>9224</v>
      </c>
      <c r="G44" s="41" t="s">
        <v>49</v>
      </c>
      <c r="H44" s="41">
        <v>1</v>
      </c>
      <c r="I44" s="41">
        <v>0</v>
      </c>
      <c r="J44" s="41" t="str">
        <f>VLOOKUP(A44,'Table with Jurisdictions'!$A$4:$Q$129,17,0)</f>
        <v>Laguna Niguel</v>
      </c>
      <c r="K44" s="41" t="s">
        <v>50</v>
      </c>
      <c r="L44" s="41"/>
      <c r="M44" s="41" t="s">
        <v>51</v>
      </c>
      <c r="N44" s="41">
        <v>14688.682923648201</v>
      </c>
      <c r="O44" s="41">
        <v>9690643.8780673593</v>
      </c>
      <c r="P44" s="42">
        <v>565.70937302729203</v>
      </c>
      <c r="Q44" s="41">
        <v>76</v>
      </c>
      <c r="R44" s="41">
        <v>76</v>
      </c>
      <c r="S44" s="41">
        <v>0</v>
      </c>
      <c r="T44" s="41">
        <v>0</v>
      </c>
      <c r="U44" s="41">
        <v>0</v>
      </c>
      <c r="V44" s="41">
        <v>0</v>
      </c>
      <c r="W44" s="41">
        <v>100</v>
      </c>
      <c r="X44" s="41">
        <v>0</v>
      </c>
      <c r="Y44" s="41">
        <v>0</v>
      </c>
      <c r="Z44" s="41">
        <v>0</v>
      </c>
      <c r="AA44" s="41">
        <v>0</v>
      </c>
      <c r="AB44" s="41">
        <v>0</v>
      </c>
      <c r="AC44" s="41">
        <v>0</v>
      </c>
      <c r="AD44" s="41">
        <v>0</v>
      </c>
      <c r="AE44" s="41">
        <v>2</v>
      </c>
      <c r="AF44" s="41">
        <v>1.45</v>
      </c>
      <c r="AG44" s="41">
        <v>8.5000000000000006E-2</v>
      </c>
      <c r="AH44" s="41">
        <v>1.5</v>
      </c>
      <c r="AI44" s="41">
        <v>0.13600000000000001</v>
      </c>
      <c r="AJ44" s="41">
        <v>0.1547</v>
      </c>
      <c r="AK44" s="53">
        <f t="shared" si="5"/>
        <v>429.93912350074191</v>
      </c>
      <c r="AL44" s="43">
        <v>0.14535000000000001</v>
      </c>
      <c r="AM44" s="43">
        <f>IF(ISBLANK(AT44),AL44*'ratio of flow'!$D$1,AT44)</f>
        <v>0.21099999999999999</v>
      </c>
      <c r="AN44" s="44"/>
      <c r="AO44" s="44"/>
      <c r="AP44" s="44"/>
      <c r="AQ44" s="44"/>
      <c r="AR44" s="45"/>
      <c r="AS44" s="45"/>
      <c r="AT44" s="45">
        <v>0.21099999999999999</v>
      </c>
      <c r="AU44" s="45"/>
      <c r="AV44" s="45"/>
      <c r="AW44" s="45"/>
      <c r="AX44" s="45">
        <v>0.1235</v>
      </c>
      <c r="AY44" s="45">
        <v>0.372</v>
      </c>
      <c r="AZ44" s="45"/>
      <c r="BA44" s="54">
        <v>1.7630331749999999</v>
      </c>
      <c r="BB44" s="54">
        <v>0.58530805699999999</v>
      </c>
      <c r="BC44" s="41"/>
      <c r="BD44" s="41"/>
      <c r="BE44" s="41"/>
      <c r="BF44" s="41"/>
      <c r="BG44" s="41"/>
      <c r="BH44" s="41"/>
      <c r="BI44" s="41"/>
      <c r="BJ44" s="41"/>
      <c r="BK44" s="46">
        <f>IFERROR(VLOOKUP(AQ44,'Scoring and Weighting'!$B$10:$C$12,2,FALSE),'Scoring and Weighting'!$C$13)</f>
        <v>70</v>
      </c>
      <c r="BL44" s="46">
        <f>VLOOKUP(AM44,'Scoring and Weighting'!$C$19:$F$23,4)</f>
        <v>100</v>
      </c>
      <c r="BM44" s="47">
        <f t="shared" si="3"/>
        <v>58.530805700000002</v>
      </c>
      <c r="BN44" s="46">
        <f>IFERROR(VLOOKUP('Summary Table for Print'!AK44,'Scoring and Weighting'!$C$35:$F$39,4,1),30)</f>
        <v>90</v>
      </c>
      <c r="BO44" s="46">
        <f t="shared" si="6"/>
        <v>40</v>
      </c>
      <c r="BP44" s="47">
        <f>IFERROR(VLOOKUP(AN44,'Scoring and Weighting'!$B$63:$C$65,2,FALSE),1)</f>
        <v>1</v>
      </c>
      <c r="BQ44" s="49">
        <f>BK44*'Scoring and Weighting'!$C$55*'Summary Table for Print'!BP44</f>
        <v>17.5</v>
      </c>
      <c r="BR44" s="49">
        <f>BL44*BP44*'Scoring and Weighting'!$C$56</f>
        <v>25</v>
      </c>
      <c r="BS44" s="49">
        <f>BP44*BM44*'Scoring and Weighting'!$C$57</f>
        <v>14.632701425</v>
      </c>
      <c r="BT44" s="49">
        <f>BP44*BN44*'Scoring and Weighting'!$C$58</f>
        <v>9</v>
      </c>
      <c r="BU44" s="49">
        <f>BP44*BO44*'Scoring and Weighting'!$C$59</f>
        <v>6</v>
      </c>
      <c r="BV44" s="50">
        <f t="shared" si="4"/>
        <v>72.132701424999993</v>
      </c>
    </row>
    <row r="45" spans="1:74" x14ac:dyDescent="0.25">
      <c r="A45" s="41" t="s">
        <v>98</v>
      </c>
      <c r="B45" s="41" t="s">
        <v>162</v>
      </c>
      <c r="C45" s="41">
        <v>96</v>
      </c>
      <c r="D45" s="41"/>
      <c r="E45" s="41"/>
      <c r="F45" s="41">
        <v>9144</v>
      </c>
      <c r="G45" s="41" t="s">
        <v>49</v>
      </c>
      <c r="H45" s="41">
        <v>1</v>
      </c>
      <c r="I45" s="41">
        <v>0</v>
      </c>
      <c r="J45" s="41" t="str">
        <f>VLOOKUP(A45,'Table with Jurisdictions'!$A$4:$Q$129,17,0)</f>
        <v>Rancho Santa Margarita</v>
      </c>
      <c r="K45" s="41" t="s">
        <v>50</v>
      </c>
      <c r="L45" s="41"/>
      <c r="M45" s="41" t="s">
        <v>64</v>
      </c>
      <c r="N45" s="41">
        <v>15072.759800878601</v>
      </c>
      <c r="O45" s="41">
        <v>7642655.9331909399</v>
      </c>
      <c r="P45" s="42">
        <v>494.51618737946802</v>
      </c>
      <c r="Q45" s="41">
        <v>70</v>
      </c>
      <c r="R45" s="41">
        <v>60</v>
      </c>
      <c r="S45" s="41">
        <v>0</v>
      </c>
      <c r="T45" s="41">
        <v>0</v>
      </c>
      <c r="U45" s="41">
        <v>0</v>
      </c>
      <c r="V45" s="41">
        <v>0</v>
      </c>
      <c r="W45" s="41">
        <v>0</v>
      </c>
      <c r="X45" s="41">
        <v>0</v>
      </c>
      <c r="Y45" s="41">
        <v>0</v>
      </c>
      <c r="Z45" s="41">
        <v>0</v>
      </c>
      <c r="AA45" s="41">
        <v>1</v>
      </c>
      <c r="AB45" s="41">
        <v>99</v>
      </c>
      <c r="AC45" s="41">
        <v>0</v>
      </c>
      <c r="AD45" s="41">
        <v>0</v>
      </c>
      <c r="AE45" s="41">
        <v>2</v>
      </c>
      <c r="AF45" s="41">
        <v>1.1000000000000001</v>
      </c>
      <c r="AG45" s="41">
        <v>3.5000000000000003E-2</v>
      </c>
      <c r="AH45" s="41">
        <v>1.03571428571428</v>
      </c>
      <c r="AI45" s="41">
        <v>2.1857142857142998E-2</v>
      </c>
      <c r="AJ45" s="41">
        <v>4.7600000000000003E-2</v>
      </c>
      <c r="AK45" s="53">
        <f t="shared" si="5"/>
        <v>346.16133116562764</v>
      </c>
      <c r="AL45" s="43">
        <v>3.4728571428570998E-2</v>
      </c>
      <c r="AM45" s="43">
        <f>IF(ISBLANK(AT45),AL45*'ratio of flow'!$D$1,AT45)</f>
        <v>0.21099999999999999</v>
      </c>
      <c r="AN45" s="44" t="s">
        <v>52</v>
      </c>
      <c r="AO45" s="44"/>
      <c r="AP45" s="44" t="s">
        <v>53</v>
      </c>
      <c r="AQ45" s="44" t="s">
        <v>54</v>
      </c>
      <c r="AR45" s="45"/>
      <c r="AS45" s="45"/>
      <c r="AT45" s="45">
        <v>0.21099999999999999</v>
      </c>
      <c r="AU45" s="45"/>
      <c r="AV45" s="45"/>
      <c r="AW45" s="45"/>
      <c r="AX45" s="45">
        <v>0.1235</v>
      </c>
      <c r="AY45" s="45">
        <v>0.372</v>
      </c>
      <c r="AZ45" s="45"/>
      <c r="BA45" s="54">
        <v>1.7630331749999999</v>
      </c>
      <c r="BB45" s="54">
        <v>0.58530805699999999</v>
      </c>
      <c r="BC45" s="41"/>
      <c r="BD45" s="41"/>
      <c r="BE45" s="41"/>
      <c r="BF45" s="41"/>
      <c r="BG45" s="41"/>
      <c r="BH45" s="41"/>
      <c r="BI45" s="41"/>
      <c r="BJ45" s="41"/>
      <c r="BK45" s="46">
        <f>IFERROR(VLOOKUP(AQ45,'Scoring and Weighting'!$B$10:$C$12,2,FALSE),'Scoring and Weighting'!$C$13)</f>
        <v>100</v>
      </c>
      <c r="BL45" s="46">
        <f>VLOOKUP(AM45,'Scoring and Weighting'!$C$19:$F$23,4)</f>
        <v>100</v>
      </c>
      <c r="BM45" s="47">
        <f t="shared" si="3"/>
        <v>58.530805700000002</v>
      </c>
      <c r="BN45" s="46">
        <f>IFERROR(VLOOKUP('Summary Table for Print'!AK45,'Scoring and Weighting'!$C$35:$F$39,4,1),30)</f>
        <v>90</v>
      </c>
      <c r="BO45" s="46">
        <f t="shared" si="6"/>
        <v>100</v>
      </c>
      <c r="BP45" s="47">
        <f>IFERROR(VLOOKUP(AN45,'Scoring and Weighting'!$B$63:$C$65,2,FALSE),1)</f>
        <v>1</v>
      </c>
      <c r="BQ45" s="49">
        <f>BK45*'Scoring and Weighting'!$C$55*'Summary Table for Print'!BP45</f>
        <v>25</v>
      </c>
      <c r="BR45" s="49">
        <f>BL45*BP45*'Scoring and Weighting'!$C$56</f>
        <v>25</v>
      </c>
      <c r="BS45" s="49">
        <f>BP45*BM45*'Scoring and Weighting'!$C$57</f>
        <v>14.632701425</v>
      </c>
      <c r="BT45" s="49">
        <f>BP45*BN45*'Scoring and Weighting'!$C$58</f>
        <v>9</v>
      </c>
      <c r="BU45" s="49">
        <f>BP45*BO45*'Scoring and Weighting'!$C$59</f>
        <v>15</v>
      </c>
      <c r="BV45" s="50">
        <f t="shared" si="4"/>
        <v>88.632701424999993</v>
      </c>
    </row>
    <row r="46" spans="1:74" x14ac:dyDescent="0.25">
      <c r="A46" s="41" t="s">
        <v>126</v>
      </c>
      <c r="B46" s="41"/>
      <c r="C46" s="41">
        <v>36</v>
      </c>
      <c r="D46" s="41"/>
      <c r="E46" s="41"/>
      <c r="F46" s="41">
        <v>9066</v>
      </c>
      <c r="G46" s="41" t="s">
        <v>49</v>
      </c>
      <c r="H46" s="41">
        <v>1</v>
      </c>
      <c r="I46" s="41">
        <v>0</v>
      </c>
      <c r="J46" s="41" t="str">
        <f>VLOOKUP(A46,'Table with Jurisdictions'!$A$4:$Q$129,17,0)</f>
        <v>Multiple</v>
      </c>
      <c r="K46" s="41" t="s">
        <v>50</v>
      </c>
      <c r="L46" s="41"/>
      <c r="M46" s="41" t="s">
        <v>51</v>
      </c>
      <c r="N46" s="41">
        <v>14245.7482347801</v>
      </c>
      <c r="O46" s="41">
        <v>3577210.3820237801</v>
      </c>
      <c r="P46" s="42">
        <v>1358.97161786172</v>
      </c>
      <c r="Q46" s="41">
        <v>93</v>
      </c>
      <c r="R46" s="41">
        <v>65</v>
      </c>
      <c r="S46" s="41">
        <v>38</v>
      </c>
      <c r="T46" s="41">
        <v>0</v>
      </c>
      <c r="U46" s="41">
        <v>0</v>
      </c>
      <c r="V46" s="41">
        <v>18</v>
      </c>
      <c r="W46" s="41">
        <v>0</v>
      </c>
      <c r="X46" s="41">
        <v>28</v>
      </c>
      <c r="Y46" s="41">
        <v>16</v>
      </c>
      <c r="Z46" s="41">
        <v>0</v>
      </c>
      <c r="AA46" s="41">
        <v>0</v>
      </c>
      <c r="AB46" s="41">
        <v>0</v>
      </c>
      <c r="AC46" s="41">
        <v>0</v>
      </c>
      <c r="AD46" s="41">
        <v>0</v>
      </c>
      <c r="AE46" s="41">
        <v>4</v>
      </c>
      <c r="AF46" s="41">
        <v>4.125</v>
      </c>
      <c r="AG46" s="41">
        <v>0.60750000000000004</v>
      </c>
      <c r="AH46" s="41">
        <v>0.25515093015092999</v>
      </c>
      <c r="AI46" s="41">
        <v>0.353140540540541</v>
      </c>
      <c r="AJ46" s="41">
        <v>0.62219999999999998</v>
      </c>
      <c r="AK46" s="53">
        <f t="shared" si="5"/>
        <v>1263.8436046113995</v>
      </c>
      <c r="AL46" s="43">
        <v>0.54156419357669405</v>
      </c>
      <c r="AM46" s="43">
        <f>IF(ISBLANK(AT46),AL46*'ratio of flow'!$D$1,AT46)</f>
        <v>0.24199999999999999</v>
      </c>
      <c r="AN46" s="44" t="s">
        <v>52</v>
      </c>
      <c r="AO46" s="44" t="s">
        <v>53</v>
      </c>
      <c r="AP46" s="44" t="s">
        <v>53</v>
      </c>
      <c r="AQ46" s="44" t="s">
        <v>54</v>
      </c>
      <c r="AR46" s="45"/>
      <c r="AS46" s="45"/>
      <c r="AT46" s="45">
        <v>0.24199999999999999</v>
      </c>
      <c r="AU46" s="45"/>
      <c r="AV46" s="45"/>
      <c r="AW46" s="45"/>
      <c r="AX46" s="45">
        <v>0.21</v>
      </c>
      <c r="AY46" s="45">
        <v>0.27750000000000002</v>
      </c>
      <c r="AZ46" s="45"/>
      <c r="BA46" s="54">
        <v>1.1466942149999999</v>
      </c>
      <c r="BB46" s="54">
        <v>0.86776859500000003</v>
      </c>
      <c r="BC46" s="41"/>
      <c r="BD46" s="41"/>
      <c r="BE46" s="41"/>
      <c r="BF46" s="41"/>
      <c r="BG46" s="41"/>
      <c r="BH46" s="41"/>
      <c r="BI46" s="41"/>
      <c r="BJ46" s="41"/>
      <c r="BK46" s="46">
        <f>IFERROR(VLOOKUP(AQ46,'Scoring and Weighting'!$B$10:$C$12,2,FALSE),'Scoring and Weighting'!$C$13)</f>
        <v>100</v>
      </c>
      <c r="BL46" s="46">
        <f>VLOOKUP(AM46,'Scoring and Weighting'!$C$19:$F$23,4)</f>
        <v>100</v>
      </c>
      <c r="BM46" s="47">
        <f t="shared" si="3"/>
        <v>86.7768595</v>
      </c>
      <c r="BN46" s="46">
        <f>IFERROR(VLOOKUP('Summary Table for Print'!AK46,'Scoring and Weighting'!$C$35:$F$39,4,1),30)</f>
        <v>100</v>
      </c>
      <c r="BO46" s="46">
        <f t="shared" si="6"/>
        <v>100</v>
      </c>
      <c r="BP46" s="47">
        <f>IFERROR(VLOOKUP(AN46,'Scoring and Weighting'!$B$63:$C$65,2,FALSE),1)</f>
        <v>1</v>
      </c>
      <c r="BQ46" s="49">
        <f>BK46*'Scoring and Weighting'!$C$55*'Summary Table for Print'!BP46</f>
        <v>25</v>
      </c>
      <c r="BR46" s="49">
        <f>BL46*BP46*'Scoring and Weighting'!$C$56</f>
        <v>25</v>
      </c>
      <c r="BS46" s="49">
        <f>BP46*BM46*'Scoring and Weighting'!$C$57</f>
        <v>21.694214875</v>
      </c>
      <c r="BT46" s="49">
        <f>BP46*BN46*'Scoring and Weighting'!$C$58</f>
        <v>10</v>
      </c>
      <c r="BU46" s="49">
        <f>BP46*BO46*'Scoring and Weighting'!$C$59</f>
        <v>15</v>
      </c>
      <c r="BV46" s="50">
        <f t="shared" si="4"/>
        <v>96.694214875</v>
      </c>
    </row>
    <row r="47" spans="1:74" x14ac:dyDescent="0.25">
      <c r="A47" s="41" t="s">
        <v>120</v>
      </c>
      <c r="B47" s="41"/>
      <c r="C47" s="41">
        <v>66</v>
      </c>
      <c r="D47" s="41"/>
      <c r="E47" s="41"/>
      <c r="F47" s="41">
        <v>9066</v>
      </c>
      <c r="G47" s="41" t="s">
        <v>49</v>
      </c>
      <c r="H47" s="41">
        <v>1</v>
      </c>
      <c r="I47" s="41">
        <v>0</v>
      </c>
      <c r="J47" s="41" t="str">
        <f>VLOOKUP(A47,'Table with Jurisdictions'!$A$4:$Q$129,17,0)</f>
        <v>Multiple</v>
      </c>
      <c r="K47" s="41" t="s">
        <v>50</v>
      </c>
      <c r="L47" s="41"/>
      <c r="M47" s="41" t="s">
        <v>64</v>
      </c>
      <c r="N47" s="41">
        <v>21320.3851644354</v>
      </c>
      <c r="O47" s="41">
        <v>18310358.859985098</v>
      </c>
      <c r="P47" s="42">
        <v>2236.9481032569702</v>
      </c>
      <c r="Q47" s="41">
        <v>64</v>
      </c>
      <c r="R47" s="41">
        <v>56</v>
      </c>
      <c r="S47" s="41">
        <v>0</v>
      </c>
      <c r="T47" s="41">
        <v>0</v>
      </c>
      <c r="U47" s="41">
        <v>0</v>
      </c>
      <c r="V47" s="41">
        <v>0</v>
      </c>
      <c r="W47" s="41">
        <v>0</v>
      </c>
      <c r="X47" s="41">
        <v>0</v>
      </c>
      <c r="Y47" s="41">
        <v>0</v>
      </c>
      <c r="Z47" s="41">
        <v>72</v>
      </c>
      <c r="AA47" s="41">
        <v>15</v>
      </c>
      <c r="AB47" s="41">
        <v>13</v>
      </c>
      <c r="AC47" s="41">
        <v>0</v>
      </c>
      <c r="AD47" s="41">
        <v>0</v>
      </c>
      <c r="AE47" s="41">
        <v>2</v>
      </c>
      <c r="AF47" s="41">
        <v>1.65</v>
      </c>
      <c r="AG47" s="41">
        <v>0.115</v>
      </c>
      <c r="AH47" s="41">
        <v>2.25</v>
      </c>
      <c r="AI47" s="41">
        <v>0.22439999999999999</v>
      </c>
      <c r="AJ47" s="41">
        <v>0.5202</v>
      </c>
      <c r="AK47" s="53">
        <f t="shared" si="5"/>
        <v>1431.6467860844609</v>
      </c>
      <c r="AL47" s="43">
        <v>0.37230000000000002</v>
      </c>
      <c r="AM47" s="43">
        <f>IF(ISBLANK(AT47),AL47*'ratio of flow'!$D$1,AT47)</f>
        <v>0.251</v>
      </c>
      <c r="AN47" s="44" t="s">
        <v>52</v>
      </c>
      <c r="AO47" s="44"/>
      <c r="AP47" s="44" t="s">
        <v>53</v>
      </c>
      <c r="AQ47" s="44" t="s">
        <v>54</v>
      </c>
      <c r="AR47" s="45"/>
      <c r="AS47" s="45"/>
      <c r="AT47" s="45">
        <v>0.251</v>
      </c>
      <c r="AU47" s="45"/>
      <c r="AV47" s="45"/>
      <c r="AW47" s="45"/>
      <c r="AX47" s="45">
        <v>0.17</v>
      </c>
      <c r="AY47" s="45">
        <v>0.374</v>
      </c>
      <c r="AZ47" s="45"/>
      <c r="BA47" s="54">
        <v>1.490039841</v>
      </c>
      <c r="BB47" s="54">
        <v>0.67729083700000003</v>
      </c>
      <c r="BC47" s="41"/>
      <c r="BD47" s="41"/>
      <c r="BE47" s="41"/>
      <c r="BF47" s="41"/>
      <c r="BG47" s="41"/>
      <c r="BH47" s="41"/>
      <c r="BI47" s="41"/>
      <c r="BJ47" s="41"/>
      <c r="BK47" s="46">
        <f>IFERROR(VLOOKUP(AQ47,'Scoring and Weighting'!$B$10:$C$12,2,FALSE),'Scoring and Weighting'!$C$13)</f>
        <v>100</v>
      </c>
      <c r="BL47" s="46">
        <f>VLOOKUP(AM47,'Scoring and Weighting'!$C$19:$F$23,4)</f>
        <v>100</v>
      </c>
      <c r="BM47" s="47">
        <f t="shared" si="3"/>
        <v>67.729083700000004</v>
      </c>
      <c r="BN47" s="46">
        <f>IFERROR(VLOOKUP('Summary Table for Print'!AK47,'Scoring and Weighting'!$C$35:$F$39,4,1),30)</f>
        <v>100</v>
      </c>
      <c r="BO47" s="46">
        <f t="shared" si="6"/>
        <v>100</v>
      </c>
      <c r="BP47" s="47">
        <f>IFERROR(VLOOKUP(AN47,'Scoring and Weighting'!$B$63:$C$65,2,FALSE),1)</f>
        <v>1</v>
      </c>
      <c r="BQ47" s="49">
        <f>BK47*'Scoring and Weighting'!$C$55*'Summary Table for Print'!BP47</f>
        <v>25</v>
      </c>
      <c r="BR47" s="49">
        <f>BL47*BP47*'Scoring and Weighting'!$C$56</f>
        <v>25</v>
      </c>
      <c r="BS47" s="49">
        <f>BP47*BM47*'Scoring and Weighting'!$C$57</f>
        <v>16.932270925000001</v>
      </c>
      <c r="BT47" s="49">
        <f>BP47*BN47*'Scoring and Weighting'!$C$58</f>
        <v>10</v>
      </c>
      <c r="BU47" s="49">
        <f>BP47*BO47*'Scoring and Weighting'!$C$59</f>
        <v>15</v>
      </c>
      <c r="BV47" s="50">
        <f t="shared" si="4"/>
        <v>91.932270924999997</v>
      </c>
    </row>
    <row r="48" spans="1:74" x14ac:dyDescent="0.25">
      <c r="A48" s="41" t="s">
        <v>472</v>
      </c>
      <c r="B48" s="41"/>
      <c r="C48" s="41">
        <v>60</v>
      </c>
      <c r="D48" s="41"/>
      <c r="E48" s="41"/>
      <c r="F48" s="41">
        <v>9785</v>
      </c>
      <c r="G48" s="41" t="s">
        <v>49</v>
      </c>
      <c r="H48" s="41">
        <v>1</v>
      </c>
      <c r="I48" s="41">
        <v>0</v>
      </c>
      <c r="J48" s="41" t="str">
        <f>VLOOKUP(A48,'Table with Jurisdictions'!$A$4:$Q$129,17,0)</f>
        <v>Multiple</v>
      </c>
      <c r="K48" s="41" t="s">
        <v>50</v>
      </c>
      <c r="L48" s="41"/>
      <c r="M48" s="41" t="s">
        <v>180</v>
      </c>
      <c r="N48" s="41">
        <v>4200.6304900893701</v>
      </c>
      <c r="O48" s="41">
        <v>925933.505251172</v>
      </c>
      <c r="P48" s="42">
        <v>3651.9011603689801</v>
      </c>
      <c r="Q48" s="41">
        <v>33</v>
      </c>
      <c r="R48" s="41">
        <v>18</v>
      </c>
      <c r="S48" s="41">
        <v>0</v>
      </c>
      <c r="T48" s="41">
        <v>0</v>
      </c>
      <c r="U48" s="41">
        <v>0</v>
      </c>
      <c r="V48" s="41">
        <v>0</v>
      </c>
      <c r="W48" s="41">
        <v>0</v>
      </c>
      <c r="X48" s="41">
        <v>0</v>
      </c>
      <c r="Y48" s="41">
        <v>0</v>
      </c>
      <c r="Z48" s="41">
        <v>0</v>
      </c>
      <c r="AA48" s="41">
        <v>19</v>
      </c>
      <c r="AB48" s="41">
        <v>1</v>
      </c>
      <c r="AC48" s="41">
        <v>80</v>
      </c>
      <c r="AD48" s="41">
        <v>0</v>
      </c>
      <c r="AE48" s="41">
        <v>3</v>
      </c>
      <c r="AF48" s="41">
        <v>1.9666666666666599</v>
      </c>
      <c r="AG48" s="41">
        <v>0.18</v>
      </c>
      <c r="AH48" s="41">
        <v>1.2603041216486599</v>
      </c>
      <c r="AI48" s="41">
        <v>0.29249999999999998</v>
      </c>
      <c r="AJ48" s="41">
        <v>0.51</v>
      </c>
      <c r="AK48" s="53">
        <f t="shared" si="5"/>
        <v>1205.1273829217635</v>
      </c>
      <c r="AL48" s="43">
        <v>0.38025510204081597</v>
      </c>
      <c r="AM48" s="43">
        <f>IF(ISBLANK(AT48),AL48*'ratio of flow'!$D$1,AT48)</f>
        <v>0.48799999999999999</v>
      </c>
      <c r="AN48" s="44" t="s">
        <v>52</v>
      </c>
      <c r="AO48" s="44" t="s">
        <v>53</v>
      </c>
      <c r="AP48" s="44" t="s">
        <v>53</v>
      </c>
      <c r="AQ48" s="44"/>
      <c r="AR48" s="45"/>
      <c r="AS48" s="45"/>
      <c r="AT48" s="45">
        <v>0.48799999999999999</v>
      </c>
      <c r="AU48" s="45"/>
      <c r="AV48" s="45"/>
      <c r="AW48" s="45"/>
      <c r="AX48" s="45">
        <v>0.41099999999999998</v>
      </c>
      <c r="AY48" s="45">
        <v>0.61899999999999999</v>
      </c>
      <c r="AZ48" s="45"/>
      <c r="BA48" s="54">
        <v>1.2684426230000001</v>
      </c>
      <c r="BB48" s="54">
        <v>0.84221311499999996</v>
      </c>
      <c r="BC48" s="41"/>
      <c r="BD48" s="41"/>
      <c r="BE48" s="41"/>
      <c r="BF48" s="41"/>
      <c r="BG48" s="41"/>
      <c r="BH48" s="41"/>
      <c r="BI48" s="41"/>
      <c r="BJ48" s="41"/>
      <c r="BK48" s="46">
        <f>IFERROR(VLOOKUP(AQ48,'Scoring and Weighting'!$B$10:$C$12,2,FALSE),'Scoring and Weighting'!$C$13)</f>
        <v>70</v>
      </c>
      <c r="BL48" s="46">
        <f>VLOOKUP(AM48,'Scoring and Weighting'!$C$19:$F$23,4)</f>
        <v>100</v>
      </c>
      <c r="BM48" s="47">
        <f t="shared" si="3"/>
        <v>84.221311499999999</v>
      </c>
      <c r="BN48" s="46">
        <f>IFERROR(VLOOKUP('Summary Table for Print'!AK48,'Scoring and Weighting'!$C$35:$F$39,4,1),30)</f>
        <v>100</v>
      </c>
      <c r="BO48" s="46">
        <f t="shared" si="6"/>
        <v>100</v>
      </c>
      <c r="BP48" s="47">
        <f>IFERROR(VLOOKUP(AN48,'Scoring and Weighting'!$B$63:$C$65,2,FALSE),1)</f>
        <v>1</v>
      </c>
      <c r="BQ48" s="49">
        <f>BK48*'Scoring and Weighting'!$C$55*'Summary Table for Print'!BP48</f>
        <v>17.5</v>
      </c>
      <c r="BR48" s="49">
        <f>BL48*BP48*'Scoring and Weighting'!$C$56</f>
        <v>25</v>
      </c>
      <c r="BS48" s="49">
        <f>BP48*BM48*'Scoring and Weighting'!$C$57</f>
        <v>21.055327875</v>
      </c>
      <c r="BT48" s="49">
        <f>BP48*BN48*'Scoring and Weighting'!$C$58</f>
        <v>10</v>
      </c>
      <c r="BU48" s="49">
        <f>BP48*BO48*'Scoring and Weighting'!$C$59</f>
        <v>15</v>
      </c>
      <c r="BV48" s="50">
        <f t="shared" si="4"/>
        <v>88.555327875000003</v>
      </c>
    </row>
    <row r="49" spans="1:74" x14ac:dyDescent="0.25">
      <c r="A49" s="41" t="s">
        <v>105</v>
      </c>
      <c r="B49" s="41" t="s">
        <v>167</v>
      </c>
      <c r="C49" s="41">
        <v>54</v>
      </c>
      <c r="D49" s="41"/>
      <c r="E49" s="41"/>
      <c r="F49" s="41">
        <v>9005</v>
      </c>
      <c r="G49" s="41" t="s">
        <v>49</v>
      </c>
      <c r="H49" s="41">
        <v>1</v>
      </c>
      <c r="I49" s="41">
        <v>0</v>
      </c>
      <c r="J49" s="41" t="str">
        <f>VLOOKUP(A49,'Table with Jurisdictions'!$A$4:$Q$129,17,0)</f>
        <v>Mission Viejo</v>
      </c>
      <c r="K49" s="41" t="s">
        <v>50</v>
      </c>
      <c r="L49" s="41"/>
      <c r="M49" s="41" t="s">
        <v>64</v>
      </c>
      <c r="N49" s="41">
        <v>13737.5431672248</v>
      </c>
      <c r="O49" s="41">
        <v>5566534.2872691201</v>
      </c>
      <c r="P49" s="42">
        <v>577.85257312354804</v>
      </c>
      <c r="Q49" s="41">
        <v>98</v>
      </c>
      <c r="R49" s="41">
        <v>89</v>
      </c>
      <c r="S49" s="41">
        <v>0</v>
      </c>
      <c r="T49" s="41">
        <v>0</v>
      </c>
      <c r="U49" s="41">
        <v>0</v>
      </c>
      <c r="V49" s="41">
        <v>0</v>
      </c>
      <c r="W49" s="41">
        <v>0</v>
      </c>
      <c r="X49" s="41">
        <v>0</v>
      </c>
      <c r="Y49" s="41">
        <v>0</v>
      </c>
      <c r="Z49" s="41">
        <v>100</v>
      </c>
      <c r="AA49" s="41">
        <v>0</v>
      </c>
      <c r="AB49" s="41">
        <v>0</v>
      </c>
      <c r="AC49" s="41">
        <v>0</v>
      </c>
      <c r="AD49" s="41">
        <v>0</v>
      </c>
      <c r="AE49" s="41">
        <v>3</v>
      </c>
      <c r="AF49" s="41">
        <v>2.2666666666666599</v>
      </c>
      <c r="AG49" s="41">
        <v>0.27</v>
      </c>
      <c r="AH49" s="41">
        <v>1.12584175084175</v>
      </c>
      <c r="AI49" s="41">
        <v>3.8636363636364003E-2</v>
      </c>
      <c r="AJ49" s="41">
        <v>0.245933333333333</v>
      </c>
      <c r="AK49" s="53">
        <f t="shared" si="5"/>
        <v>566.29552166107703</v>
      </c>
      <c r="AL49" s="43">
        <v>0.135656565656566</v>
      </c>
      <c r="AM49" s="43">
        <f>IF(ISBLANK(AT49),AL49*'ratio of flow'!$D$1,AT49)</f>
        <v>0.51200000000000001</v>
      </c>
      <c r="AN49" s="44" t="s">
        <v>52</v>
      </c>
      <c r="AO49" s="44"/>
      <c r="AP49" s="44"/>
      <c r="AQ49" s="44" t="s">
        <v>54</v>
      </c>
      <c r="AR49" s="45"/>
      <c r="AS49" s="45"/>
      <c r="AT49" s="45">
        <v>0.51200000000000001</v>
      </c>
      <c r="AU49" s="45"/>
      <c r="AV49" s="45"/>
      <c r="AW49" s="45"/>
      <c r="AX49" s="45">
        <v>0.46</v>
      </c>
      <c r="AY49" s="45">
        <v>0.63149999999999995</v>
      </c>
      <c r="AZ49" s="45"/>
      <c r="BA49" s="54">
        <v>1.233398438</v>
      </c>
      <c r="BB49" s="54">
        <v>0.8984375</v>
      </c>
      <c r="BC49" s="41"/>
      <c r="BD49" s="41"/>
      <c r="BE49" s="41"/>
      <c r="BF49" s="41"/>
      <c r="BG49" s="41"/>
      <c r="BH49" s="41"/>
      <c r="BI49" s="41"/>
      <c r="BJ49" s="41"/>
      <c r="BK49" s="46">
        <f>IFERROR(VLOOKUP(AQ49,'Scoring and Weighting'!$B$10:$C$12,2,FALSE),'Scoring and Weighting'!$C$13)</f>
        <v>100</v>
      </c>
      <c r="BL49" s="46">
        <f>VLOOKUP(AM49,'Scoring and Weighting'!$C$19:$F$23,4)</f>
        <v>100</v>
      </c>
      <c r="BM49" s="47">
        <f t="shared" si="3"/>
        <v>89.84375</v>
      </c>
      <c r="BN49" s="46">
        <f>IFERROR(VLOOKUP('Summary Table for Print'!AK49,'Scoring and Weighting'!$C$35:$F$39,4,1),30)</f>
        <v>90</v>
      </c>
      <c r="BO49" s="46">
        <f t="shared" si="6"/>
        <v>100</v>
      </c>
      <c r="BP49" s="47">
        <f>IFERROR(VLOOKUP(AN49,'Scoring and Weighting'!$B$63:$C$65,2,FALSE),1)</f>
        <v>1</v>
      </c>
      <c r="BQ49" s="49">
        <f>BK49*'Scoring and Weighting'!$C$55*'Summary Table for Print'!BP49</f>
        <v>25</v>
      </c>
      <c r="BR49" s="49">
        <f>BL49*BP49*'Scoring and Weighting'!$C$56</f>
        <v>25</v>
      </c>
      <c r="BS49" s="49">
        <f>BP49*BM49*'Scoring and Weighting'!$C$57</f>
        <v>22.4609375</v>
      </c>
      <c r="BT49" s="49">
        <f>BP49*BN49*'Scoring and Weighting'!$C$58</f>
        <v>9</v>
      </c>
      <c r="BU49" s="49">
        <f>BP49*BO49*'Scoring and Weighting'!$C$59</f>
        <v>15</v>
      </c>
      <c r="BV49" s="50">
        <f t="shared" si="4"/>
        <v>96.4609375</v>
      </c>
    </row>
    <row r="50" spans="1:74" x14ac:dyDescent="0.25">
      <c r="A50" s="41" t="s">
        <v>100</v>
      </c>
      <c r="B50" s="41" t="s">
        <v>169</v>
      </c>
      <c r="C50" s="41">
        <v>48</v>
      </c>
      <c r="D50" s="41"/>
      <c r="E50" s="41"/>
      <c r="F50" s="41">
        <v>9368</v>
      </c>
      <c r="G50" s="41" t="s">
        <v>57</v>
      </c>
      <c r="H50" s="41">
        <v>1</v>
      </c>
      <c r="I50" s="41">
        <v>0</v>
      </c>
      <c r="J50" s="41" t="str">
        <f>VLOOKUP(A50,'Table with Jurisdictions'!$A$4:$Q$129,17,0)</f>
        <v>Mission Viejo</v>
      </c>
      <c r="K50" s="41" t="s">
        <v>50</v>
      </c>
      <c r="L50" s="41"/>
      <c r="M50" s="41" t="s">
        <v>64</v>
      </c>
      <c r="N50" s="41">
        <v>12367.8105293232</v>
      </c>
      <c r="O50" s="41">
        <v>4022472.2006056202</v>
      </c>
      <c r="P50" s="42">
        <v>454.69156130735701</v>
      </c>
      <c r="Q50" s="41">
        <v>100</v>
      </c>
      <c r="R50" s="41">
        <v>61</v>
      </c>
      <c r="S50" s="41">
        <v>0</v>
      </c>
      <c r="T50" s="41">
        <v>0</v>
      </c>
      <c r="U50" s="41">
        <v>0</v>
      </c>
      <c r="V50" s="41">
        <v>0</v>
      </c>
      <c r="W50" s="41">
        <v>0</v>
      </c>
      <c r="X50" s="41">
        <v>0</v>
      </c>
      <c r="Y50" s="41">
        <v>0</v>
      </c>
      <c r="Z50" s="41">
        <v>100</v>
      </c>
      <c r="AA50" s="41">
        <v>0</v>
      </c>
      <c r="AB50" s="41">
        <v>0</v>
      </c>
      <c r="AC50" s="41">
        <v>0</v>
      </c>
      <c r="AD50" s="41">
        <v>0</v>
      </c>
      <c r="AE50" s="41">
        <v>1</v>
      </c>
      <c r="AF50" s="41">
        <v>2.6</v>
      </c>
      <c r="AG50" s="41">
        <v>0.2</v>
      </c>
      <c r="AH50" s="41">
        <v>1</v>
      </c>
      <c r="AI50" s="41">
        <v>0.442</v>
      </c>
      <c r="AJ50" s="41">
        <v>0.442</v>
      </c>
      <c r="AK50" s="53">
        <f t="shared" si="5"/>
        <v>454.69156130735706</v>
      </c>
      <c r="AL50" s="43">
        <v>0.442</v>
      </c>
      <c r="AM50" s="43">
        <f>IF(ISBLANK(AT50),AL50*'ratio of flow'!$D$1,AT50)</f>
        <v>0.68500000000000005</v>
      </c>
      <c r="AN50" s="44"/>
      <c r="AO50" s="44"/>
      <c r="AP50" s="44"/>
      <c r="AQ50" s="44"/>
      <c r="AR50" s="45"/>
      <c r="AS50" s="45"/>
      <c r="AT50" s="45">
        <v>0.68500000000000005</v>
      </c>
      <c r="AU50" s="45"/>
      <c r="AV50" s="45"/>
      <c r="AW50" s="45"/>
      <c r="AX50" s="45">
        <v>0.47499999999999998</v>
      </c>
      <c r="AY50" s="45">
        <v>0.92900000000000005</v>
      </c>
      <c r="AZ50" s="45"/>
      <c r="BA50" s="54">
        <v>1.3562043800000001</v>
      </c>
      <c r="BB50" s="54">
        <v>0.69343065699999995</v>
      </c>
      <c r="BC50" s="41"/>
      <c r="BD50" s="41"/>
      <c r="BE50" s="41"/>
      <c r="BF50" s="41"/>
      <c r="BG50" s="41"/>
      <c r="BH50" s="41"/>
      <c r="BI50" s="41"/>
      <c r="BJ50" s="41"/>
      <c r="BK50" s="46">
        <f>IFERROR(VLOOKUP(AQ50,'Scoring and Weighting'!$B$10:$C$12,2,FALSE),'Scoring and Weighting'!$C$13)</f>
        <v>70</v>
      </c>
      <c r="BL50" s="46">
        <f>VLOOKUP(AM50,'Scoring and Weighting'!$C$19:$F$23,4)</f>
        <v>100</v>
      </c>
      <c r="BM50" s="47">
        <f t="shared" si="3"/>
        <v>69.343065699999997</v>
      </c>
      <c r="BN50" s="46">
        <f>IFERROR(VLOOKUP('Summary Table for Print'!AK50,'Scoring and Weighting'!$C$35:$F$39,4,1),30)</f>
        <v>90</v>
      </c>
      <c r="BO50" s="46">
        <f t="shared" si="6"/>
        <v>20</v>
      </c>
      <c r="BP50" s="47">
        <f>IFERROR(VLOOKUP(AN50,'Scoring and Weighting'!$B$63:$C$65,2,FALSE),1)</f>
        <v>1</v>
      </c>
      <c r="BQ50" s="49">
        <f>BK50*'Scoring and Weighting'!$C$55*'Summary Table for Print'!BP50</f>
        <v>17.5</v>
      </c>
      <c r="BR50" s="49">
        <f>BL50*BP50*'Scoring and Weighting'!$C$56</f>
        <v>25</v>
      </c>
      <c r="BS50" s="49">
        <f>BP50*BM50*'Scoring and Weighting'!$C$57</f>
        <v>17.335766424999999</v>
      </c>
      <c r="BT50" s="49">
        <f>BP50*BN50*'Scoring and Weighting'!$C$58</f>
        <v>9</v>
      </c>
      <c r="BU50" s="49">
        <f>BP50*BO50*'Scoring and Weighting'!$C$59</f>
        <v>3</v>
      </c>
      <c r="BV50" s="50">
        <f t="shared" si="4"/>
        <v>71.835766425000003</v>
      </c>
    </row>
    <row r="51" spans="1:74" x14ac:dyDescent="0.25">
      <c r="A51" s="41" t="s">
        <v>176</v>
      </c>
      <c r="B51" s="41"/>
      <c r="C51" s="41">
        <v>54</v>
      </c>
      <c r="D51" s="41"/>
      <c r="E51" s="41"/>
      <c r="F51" s="41">
        <v>9215</v>
      </c>
      <c r="G51" s="41" t="s">
        <v>57</v>
      </c>
      <c r="H51" s="41">
        <v>1</v>
      </c>
      <c r="I51" s="41">
        <v>0</v>
      </c>
      <c r="J51" s="41" t="str">
        <f>VLOOKUP(A51,'Table with Jurisdictions'!$A$4:$Q$129,17,0)</f>
        <v>Laguna Beach</v>
      </c>
      <c r="K51" s="41" t="s">
        <v>50</v>
      </c>
      <c r="L51" s="41"/>
      <c r="M51" s="41" t="s">
        <v>149</v>
      </c>
      <c r="N51" s="41">
        <v>12703.1876113652</v>
      </c>
      <c r="O51" s="41">
        <v>6764304.9039294403</v>
      </c>
      <c r="P51" s="42">
        <v>223.336799908812</v>
      </c>
      <c r="Q51" s="41">
        <v>34</v>
      </c>
      <c r="R51" s="41">
        <v>34</v>
      </c>
      <c r="S51" s="41">
        <v>0</v>
      </c>
      <c r="T51" s="41">
        <v>0</v>
      </c>
      <c r="U51" s="41">
        <v>92</v>
      </c>
      <c r="V51" s="41">
        <v>0</v>
      </c>
      <c r="W51" s="41">
        <v>0</v>
      </c>
      <c r="X51" s="41">
        <v>0</v>
      </c>
      <c r="Y51" s="41">
        <v>0</v>
      </c>
      <c r="Z51" s="41">
        <v>0</v>
      </c>
      <c r="AA51" s="41">
        <v>8</v>
      </c>
      <c r="AB51" s="41">
        <v>0</v>
      </c>
      <c r="AC51" s="41">
        <v>0</v>
      </c>
      <c r="AD51" s="41">
        <v>0</v>
      </c>
      <c r="AE51" s="41">
        <v>1</v>
      </c>
      <c r="AF51" s="41">
        <v>1</v>
      </c>
      <c r="AG51" s="41">
        <v>0.3</v>
      </c>
      <c r="AH51" s="41">
        <v>1</v>
      </c>
      <c r="AI51" s="41">
        <v>0.255</v>
      </c>
      <c r="AJ51" s="41">
        <v>0.255</v>
      </c>
      <c r="AK51" s="53">
        <f t="shared" si="5"/>
        <v>75.934511968996077</v>
      </c>
      <c r="AL51" s="43">
        <v>0.255</v>
      </c>
      <c r="AM51" s="43">
        <f>IF(ISBLANK(AT51),AL51*'ratio of flow'!$D$1,AT51)</f>
        <v>0.12588478266188671</v>
      </c>
      <c r="AN51" s="44"/>
      <c r="AO51" s="44"/>
      <c r="AP51" s="44"/>
      <c r="AQ51" s="44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1"/>
      <c r="BD51" s="41"/>
      <c r="BE51" s="41"/>
      <c r="BF51" s="41"/>
      <c r="BG51" s="41"/>
      <c r="BH51" s="41"/>
      <c r="BI51" s="41"/>
      <c r="BJ51" s="41"/>
      <c r="BK51" s="46">
        <f>IFERROR(VLOOKUP(AQ51,'Scoring and Weighting'!$B$10:$C$12,2,FALSE),'Scoring and Weighting'!$C$13)</f>
        <v>70</v>
      </c>
      <c r="BL51" s="46">
        <f>VLOOKUP(AM51,'Scoring and Weighting'!$C$19:$F$23,4)</f>
        <v>70</v>
      </c>
      <c r="BM51" s="47">
        <f t="shared" si="3"/>
        <v>40</v>
      </c>
      <c r="BN51" s="46">
        <f>IFERROR(VLOOKUP('Summary Table for Print'!AK51,'Scoring and Weighting'!$C$35:$F$39,4,1),30)</f>
        <v>30</v>
      </c>
      <c r="BO51" s="46">
        <f t="shared" si="6"/>
        <v>20</v>
      </c>
      <c r="BP51" s="47">
        <f>IFERROR(VLOOKUP(AN51,'Scoring and Weighting'!$B$63:$C$65,2,FALSE),1)</f>
        <v>1</v>
      </c>
      <c r="BQ51" s="49">
        <f>BK51*'Scoring and Weighting'!$C$55*'Summary Table for Print'!BP51</f>
        <v>17.5</v>
      </c>
      <c r="BR51" s="49">
        <f>BL51*BP51*'Scoring and Weighting'!$C$56</f>
        <v>17.5</v>
      </c>
      <c r="BS51" s="49">
        <f>BP51*BM51*'Scoring and Weighting'!$C$57</f>
        <v>10</v>
      </c>
      <c r="BT51" s="49">
        <f>BP51*BN51*'Scoring and Weighting'!$C$58</f>
        <v>3</v>
      </c>
      <c r="BU51" s="49">
        <f>BP51*BO51*'Scoring and Weighting'!$C$59</f>
        <v>3</v>
      </c>
      <c r="BV51" s="50">
        <f t="shared" si="4"/>
        <v>51</v>
      </c>
    </row>
    <row r="52" spans="1:74" x14ac:dyDescent="0.25">
      <c r="A52" s="41" t="s">
        <v>252</v>
      </c>
      <c r="B52" s="41" t="s">
        <v>172</v>
      </c>
      <c r="C52" s="41">
        <v>60</v>
      </c>
      <c r="D52" s="41"/>
      <c r="E52" s="41"/>
      <c r="F52" s="41">
        <v>9368</v>
      </c>
      <c r="G52" s="41" t="s">
        <v>57</v>
      </c>
      <c r="H52" s="41">
        <v>1</v>
      </c>
      <c r="I52" s="41">
        <v>0</v>
      </c>
      <c r="J52" s="41" t="str">
        <f>VLOOKUP(A52,'Table with Jurisdictions'!$A$4:$Q$129,17,0)</f>
        <v>Laguna Beach</v>
      </c>
      <c r="K52" s="41" t="s">
        <v>50</v>
      </c>
      <c r="L52" s="41"/>
      <c r="M52" s="41" t="s">
        <v>149</v>
      </c>
      <c r="N52" s="41">
        <v>6407.3449032214703</v>
      </c>
      <c r="O52" s="41">
        <v>1491107.42977236</v>
      </c>
      <c r="P52" s="42">
        <v>12.1490758011319</v>
      </c>
      <c r="Q52" s="41">
        <v>100</v>
      </c>
      <c r="R52" s="41">
        <v>7</v>
      </c>
      <c r="S52" s="41">
        <v>0</v>
      </c>
      <c r="T52" s="41">
        <v>0</v>
      </c>
      <c r="U52" s="41">
        <v>100</v>
      </c>
      <c r="V52" s="41">
        <v>0</v>
      </c>
      <c r="W52" s="41">
        <v>0</v>
      </c>
      <c r="X52" s="41">
        <v>0</v>
      </c>
      <c r="Y52" s="41">
        <v>0</v>
      </c>
      <c r="Z52" s="41">
        <v>0</v>
      </c>
      <c r="AA52" s="41">
        <v>0</v>
      </c>
      <c r="AB52" s="41">
        <v>0</v>
      </c>
      <c r="AC52" s="41">
        <v>0</v>
      </c>
      <c r="AD52" s="41">
        <v>0</v>
      </c>
      <c r="AE52" s="41">
        <v>3</v>
      </c>
      <c r="AF52" s="41">
        <v>5.5666666666666602</v>
      </c>
      <c r="AG52" s="41">
        <v>2.6666666666667001E-2</v>
      </c>
      <c r="AH52" s="41">
        <v>0.37777777777777799</v>
      </c>
      <c r="AI52" s="41">
        <v>5.9500000000000004E-3</v>
      </c>
      <c r="AJ52" s="41">
        <v>0.10199999999999999</v>
      </c>
      <c r="AK52" s="53">
        <f t="shared" si="5"/>
        <v>12.1490758011319</v>
      </c>
      <c r="AL52" s="43">
        <v>4.9583333333333E-2</v>
      </c>
      <c r="AM52" s="43">
        <f>IF(ISBLANK(AT52),AL52*'ratio of flow'!$D$1,AT52)</f>
        <v>2.447759662870003E-2</v>
      </c>
      <c r="AN52" s="44" t="s">
        <v>52</v>
      </c>
      <c r="AO52" s="44" t="s">
        <v>53</v>
      </c>
      <c r="AP52" s="44" t="s">
        <v>53</v>
      </c>
      <c r="AQ52" s="44" t="s">
        <v>69</v>
      </c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1"/>
      <c r="BD52" s="41"/>
      <c r="BE52" s="41"/>
      <c r="BF52" s="41"/>
      <c r="BG52" s="41"/>
      <c r="BH52" s="41"/>
      <c r="BI52" s="41"/>
      <c r="BJ52" s="41"/>
      <c r="BK52" s="46">
        <f>IFERROR(VLOOKUP(AQ52,'Scoring and Weighting'!$B$10:$C$12,2,FALSE),'Scoring and Weighting'!$C$13)</f>
        <v>80</v>
      </c>
      <c r="BL52" s="46">
        <f>VLOOKUP(AM52,'Scoring and Weighting'!$C$19:$F$23,4)</f>
        <v>50</v>
      </c>
      <c r="BM52" s="47">
        <f t="shared" si="3"/>
        <v>40</v>
      </c>
      <c r="BN52" s="46">
        <f>IFERROR(VLOOKUP('Summary Table for Print'!AK52,'Scoring and Weighting'!$C$35:$F$39,4,1),30)</f>
        <v>30</v>
      </c>
      <c r="BO52" s="46">
        <f t="shared" si="6"/>
        <v>60</v>
      </c>
      <c r="BP52" s="47">
        <f>IFERROR(VLOOKUP(AN52,'Scoring and Weighting'!$B$63:$C$65,2,FALSE),1)</f>
        <v>1</v>
      </c>
      <c r="BQ52" s="49">
        <f>BK52*'Scoring and Weighting'!$C$55*'Summary Table for Print'!BP52</f>
        <v>20</v>
      </c>
      <c r="BR52" s="49">
        <f>BL52*BP52*'Scoring and Weighting'!$C$56</f>
        <v>12.5</v>
      </c>
      <c r="BS52" s="49">
        <f>BP52*BM52*'Scoring and Weighting'!$C$57</f>
        <v>10</v>
      </c>
      <c r="BT52" s="49">
        <f>BP52*BN52*'Scoring and Weighting'!$C$58</f>
        <v>3</v>
      </c>
      <c r="BU52" s="49">
        <f>BP52*BO52*'Scoring and Weighting'!$C$59</f>
        <v>9</v>
      </c>
      <c r="BV52" s="50">
        <f t="shared" si="4"/>
        <v>54.5</v>
      </c>
    </row>
    <row r="53" spans="1:74" x14ac:dyDescent="0.25">
      <c r="A53" s="41" t="s">
        <v>174</v>
      </c>
      <c r="B53" s="41"/>
      <c r="C53" s="41">
        <v>54</v>
      </c>
      <c r="D53" s="41"/>
      <c r="E53" s="41"/>
      <c r="F53" s="41">
        <v>9313</v>
      </c>
      <c r="G53" s="41" t="s">
        <v>49</v>
      </c>
      <c r="H53" s="41">
        <v>1</v>
      </c>
      <c r="I53" s="41">
        <v>0</v>
      </c>
      <c r="J53" s="41" t="str">
        <f>VLOOKUP(A53,'Table with Jurisdictions'!$A$4:$Q$129,17,0)</f>
        <v>Laguna Woods</v>
      </c>
      <c r="K53" s="41" t="s">
        <v>50</v>
      </c>
      <c r="L53" s="41"/>
      <c r="M53" s="41" t="s">
        <v>149</v>
      </c>
      <c r="N53" s="41">
        <v>13044.0965587887</v>
      </c>
      <c r="O53" s="41">
        <v>5984108.3474733299</v>
      </c>
      <c r="P53" s="42">
        <v>46.811042122592802</v>
      </c>
      <c r="Q53" s="41">
        <v>100</v>
      </c>
      <c r="R53" s="41">
        <v>100</v>
      </c>
      <c r="S53" s="41">
        <v>0</v>
      </c>
      <c r="T53" s="41">
        <v>0</v>
      </c>
      <c r="U53" s="41">
        <v>0</v>
      </c>
      <c r="V53" s="41">
        <v>0</v>
      </c>
      <c r="W53" s="41">
        <v>0</v>
      </c>
      <c r="X53" s="41">
        <v>100</v>
      </c>
      <c r="Y53" s="41">
        <v>0</v>
      </c>
      <c r="Z53" s="41">
        <v>0</v>
      </c>
      <c r="AA53" s="41">
        <v>0</v>
      </c>
      <c r="AB53" s="41">
        <v>0</v>
      </c>
      <c r="AC53" s="41">
        <v>0</v>
      </c>
      <c r="AD53" s="41">
        <v>0</v>
      </c>
      <c r="AE53" s="41">
        <v>1</v>
      </c>
      <c r="AF53" s="41">
        <v>0.5</v>
      </c>
      <c r="AG53" s="41">
        <v>5.0000000000000001E-3</v>
      </c>
      <c r="AH53" s="41">
        <v>0.14285714285714299</v>
      </c>
      <c r="AI53" s="41">
        <v>3.0357142857100002E-4</v>
      </c>
      <c r="AJ53" s="41">
        <v>3.0357142857100002E-4</v>
      </c>
      <c r="AK53" s="53">
        <f t="shared" si="5"/>
        <v>46.811042122592795</v>
      </c>
      <c r="AL53" s="43">
        <v>3.0357142857100002E-4</v>
      </c>
      <c r="AM53" s="43">
        <f>IF(ISBLANK(AT53),AL53*'ratio of flow'!$D$1,AT53)</f>
        <v>1.4986283650203453E-4</v>
      </c>
      <c r="AN53" s="44"/>
      <c r="AO53" s="44"/>
      <c r="AP53" s="44"/>
      <c r="AQ53" s="44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1"/>
      <c r="BD53" s="41"/>
      <c r="BE53" s="41"/>
      <c r="BF53" s="41"/>
      <c r="BG53" s="41"/>
      <c r="BH53" s="41"/>
      <c r="BI53" s="41"/>
      <c r="BJ53" s="41"/>
      <c r="BK53" s="46">
        <f>IFERROR(VLOOKUP(AQ53,'Scoring and Weighting'!$B$10:$C$12,2,FALSE),'Scoring and Weighting'!$C$13)</f>
        <v>70</v>
      </c>
      <c r="BL53" s="46">
        <f>VLOOKUP(AM53,'Scoring and Weighting'!$C$19:$F$23,4)</f>
        <v>30</v>
      </c>
      <c r="BM53" s="47">
        <f t="shared" si="3"/>
        <v>40</v>
      </c>
      <c r="BN53" s="46">
        <f>IFERROR(VLOOKUP('Summary Table for Print'!AK53,'Scoring and Weighting'!$C$35:$F$39,4,1),30)</f>
        <v>30</v>
      </c>
      <c r="BO53" s="46">
        <f t="shared" si="6"/>
        <v>20</v>
      </c>
      <c r="BP53" s="47">
        <f>IFERROR(VLOOKUP(AN53,'Scoring and Weighting'!$B$63:$C$65,2,FALSE),1)</f>
        <v>1</v>
      </c>
      <c r="BQ53" s="49">
        <f>BK53*'Scoring and Weighting'!$C$55*'Summary Table for Print'!BP53</f>
        <v>17.5</v>
      </c>
      <c r="BR53" s="49">
        <f>BL53*BP53*'Scoring and Weighting'!$C$56</f>
        <v>7.5</v>
      </c>
      <c r="BS53" s="49">
        <f>BP53*BM53*'Scoring and Weighting'!$C$57</f>
        <v>10</v>
      </c>
      <c r="BT53" s="49">
        <f>BP53*BN53*'Scoring and Weighting'!$C$58</f>
        <v>3</v>
      </c>
      <c r="BU53" s="49">
        <f>BP53*BO53*'Scoring and Weighting'!$C$59</f>
        <v>3</v>
      </c>
      <c r="BV53" s="50">
        <f t="shared" si="4"/>
        <v>41</v>
      </c>
    </row>
    <row r="54" spans="1:74" x14ac:dyDescent="0.25">
      <c r="A54" s="41" t="s">
        <v>155</v>
      </c>
      <c r="B54" s="41"/>
      <c r="C54" s="41">
        <v>48</v>
      </c>
      <c r="D54" s="41"/>
      <c r="E54" s="41"/>
      <c r="F54" s="41">
        <v>11343</v>
      </c>
      <c r="G54" s="41" t="s">
        <v>175</v>
      </c>
      <c r="H54" s="41">
        <v>1</v>
      </c>
      <c r="I54" s="41">
        <v>0</v>
      </c>
      <c r="J54" s="41" t="str">
        <f>VLOOKUP(A54,'Table with Jurisdictions'!$A$4:$Q$129,17,0)</f>
        <v>Aliso Viejo</v>
      </c>
      <c r="K54" s="41" t="s">
        <v>50</v>
      </c>
      <c r="L54" s="41"/>
      <c r="M54" s="41" t="s">
        <v>51</v>
      </c>
      <c r="N54" s="41">
        <v>8251.0243039655106</v>
      </c>
      <c r="O54" s="41">
        <v>2039082.64114993</v>
      </c>
      <c r="P54" s="42">
        <v>17.4225671883021</v>
      </c>
      <c r="Q54" s="41">
        <v>45</v>
      </c>
      <c r="R54" s="41">
        <v>2</v>
      </c>
      <c r="S54" s="41">
        <v>100</v>
      </c>
      <c r="T54" s="41">
        <v>0</v>
      </c>
      <c r="U54" s="41">
        <v>0</v>
      </c>
      <c r="V54" s="41">
        <v>0</v>
      </c>
      <c r="W54" s="41">
        <v>0</v>
      </c>
      <c r="X54" s="41">
        <v>0</v>
      </c>
      <c r="Y54" s="41">
        <v>0</v>
      </c>
      <c r="Z54" s="41">
        <v>0</v>
      </c>
      <c r="AA54" s="41">
        <v>0</v>
      </c>
      <c r="AB54" s="41">
        <v>0</v>
      </c>
      <c r="AC54" s="41">
        <v>0</v>
      </c>
      <c r="AD54" s="41">
        <v>0</v>
      </c>
      <c r="AE54" s="41">
        <v>3</v>
      </c>
      <c r="AF54" s="41">
        <v>1.0166666666666599</v>
      </c>
      <c r="AG54" s="41">
        <v>4.6666666666667002E-2</v>
      </c>
      <c r="AH54" s="41">
        <v>0.26984126984126999</v>
      </c>
      <c r="AI54" s="41">
        <v>4.3714285714289997E-3</v>
      </c>
      <c r="AJ54" s="41">
        <v>1.6291666666666999E-2</v>
      </c>
      <c r="AK54" s="53">
        <f t="shared" si="5"/>
        <v>7.8401552347359447</v>
      </c>
      <c r="AL54" s="43">
        <v>1.1609920634921E-2</v>
      </c>
      <c r="AM54" s="43">
        <f>IF(ISBLANK(AT54),AL54*'ratio of flow'!$D$1,AT54)</f>
        <v>5.7314209248971919E-3</v>
      </c>
      <c r="AN54" s="44" t="s">
        <v>52</v>
      </c>
      <c r="AO54" s="44" t="s">
        <v>53</v>
      </c>
      <c r="AP54" s="44" t="s">
        <v>53</v>
      </c>
      <c r="AQ54" s="44" t="s">
        <v>114</v>
      </c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1"/>
      <c r="BD54" s="41"/>
      <c r="BE54" s="41"/>
      <c r="BF54" s="41"/>
      <c r="BG54" s="41"/>
      <c r="BH54" s="41"/>
      <c r="BI54" s="41"/>
      <c r="BJ54" s="41"/>
      <c r="BK54" s="46">
        <f>IFERROR(VLOOKUP(AQ54,'Scoring and Weighting'!$B$10:$C$12,2,FALSE),'Scoring and Weighting'!$C$13)</f>
        <v>60</v>
      </c>
      <c r="BL54" s="46">
        <f>VLOOKUP(AM54,'Scoring and Weighting'!$C$19:$F$23,4)</f>
        <v>30</v>
      </c>
      <c r="BM54" s="47">
        <f t="shared" si="3"/>
        <v>40</v>
      </c>
      <c r="BN54" s="46">
        <f>IFERROR(VLOOKUP('Summary Table for Print'!AK54,'Scoring and Weighting'!$C$35:$F$39,4,1),30)</f>
        <v>30</v>
      </c>
      <c r="BO54" s="46">
        <f t="shared" si="6"/>
        <v>60</v>
      </c>
      <c r="BP54" s="47">
        <f>IFERROR(VLOOKUP(AN54,'Scoring and Weighting'!$B$63:$C$65,2,FALSE),1)</f>
        <v>1</v>
      </c>
      <c r="BQ54" s="49">
        <f>BK54*'Scoring and Weighting'!$C$55*'Summary Table for Print'!BP54</f>
        <v>15</v>
      </c>
      <c r="BR54" s="49">
        <f>BL54*BP54*'Scoring and Weighting'!$C$56</f>
        <v>7.5</v>
      </c>
      <c r="BS54" s="49">
        <f>BP54*BM54*'Scoring and Weighting'!$C$57</f>
        <v>10</v>
      </c>
      <c r="BT54" s="49">
        <f>BP54*BN54*'Scoring and Weighting'!$C$58</f>
        <v>3</v>
      </c>
      <c r="BU54" s="49">
        <f>BP54*BO54*'Scoring and Weighting'!$C$59</f>
        <v>9</v>
      </c>
      <c r="BV54" s="50">
        <f t="shared" si="4"/>
        <v>44.5</v>
      </c>
    </row>
    <row r="55" spans="1:74" x14ac:dyDescent="0.25">
      <c r="A55" s="41" t="s">
        <v>144</v>
      </c>
      <c r="B55" s="41"/>
      <c r="C55" s="41">
        <v>48</v>
      </c>
      <c r="D55" s="41"/>
      <c r="E55" s="41"/>
      <c r="F55" s="41">
        <v>11468</v>
      </c>
      <c r="G55" s="41" t="s">
        <v>177</v>
      </c>
      <c r="H55" s="41">
        <v>1</v>
      </c>
      <c r="I55" s="41">
        <v>0</v>
      </c>
      <c r="J55" s="41" t="str">
        <f>VLOOKUP(A55,'Table with Jurisdictions'!$A$4:$Q$129,17,0)</f>
        <v>Aliso Viejo</v>
      </c>
      <c r="K55" s="41" t="s">
        <v>50</v>
      </c>
      <c r="L55" s="41"/>
      <c r="M55" s="41" t="s">
        <v>51</v>
      </c>
      <c r="N55" s="41">
        <v>19812.988386831799</v>
      </c>
      <c r="O55" s="41">
        <v>9728520.6902975794</v>
      </c>
      <c r="P55" s="42">
        <v>72.939063242515203</v>
      </c>
      <c r="Q55" s="41">
        <v>88</v>
      </c>
      <c r="R55" s="41">
        <v>62</v>
      </c>
      <c r="S55" s="41">
        <v>100</v>
      </c>
      <c r="T55" s="41">
        <v>0</v>
      </c>
      <c r="U55" s="41">
        <v>0</v>
      </c>
      <c r="V55" s="41">
        <v>0</v>
      </c>
      <c r="W55" s="41">
        <v>0</v>
      </c>
      <c r="X55" s="41">
        <v>0</v>
      </c>
      <c r="Y55" s="41">
        <v>0</v>
      </c>
      <c r="Z55" s="41">
        <v>0</v>
      </c>
      <c r="AA55" s="41">
        <v>0</v>
      </c>
      <c r="AB55" s="41">
        <v>0</v>
      </c>
      <c r="AC55" s="41">
        <v>0</v>
      </c>
      <c r="AD55" s="41">
        <v>0</v>
      </c>
      <c r="AE55" s="41">
        <v>3</v>
      </c>
      <c r="AF55" s="41">
        <v>0.4</v>
      </c>
      <c r="AG55" s="41">
        <v>0.01</v>
      </c>
      <c r="AH55" s="41">
        <v>2</v>
      </c>
      <c r="AI55" s="41">
        <v>3.3999999999999998E-3</v>
      </c>
      <c r="AJ55" s="41">
        <v>1.0200000000000001E-2</v>
      </c>
      <c r="AK55" s="53">
        <f t="shared" si="5"/>
        <v>64.186375653413378</v>
      </c>
      <c r="AL55" s="43">
        <v>6.7999999999999996E-3</v>
      </c>
      <c r="AM55" s="43">
        <f>IF(ISBLANK(AT55),AL55*'ratio of flow'!$D$1,AT55)</f>
        <v>3.3569275376503123E-3</v>
      </c>
      <c r="AN55" s="44" t="s">
        <v>52</v>
      </c>
      <c r="AO55" s="44" t="s">
        <v>53</v>
      </c>
      <c r="AP55" s="44" t="s">
        <v>53</v>
      </c>
      <c r="AQ55" s="44" t="s">
        <v>114</v>
      </c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1"/>
      <c r="BD55" s="41"/>
      <c r="BE55" s="41"/>
      <c r="BF55" s="41"/>
      <c r="BG55" s="41"/>
      <c r="BH55" s="41"/>
      <c r="BI55" s="41"/>
      <c r="BJ55" s="41"/>
      <c r="BK55" s="46">
        <f>IFERROR(VLOOKUP(AQ55,'Scoring and Weighting'!$B$10:$C$12,2,FALSE),'Scoring and Weighting'!$C$13)</f>
        <v>60</v>
      </c>
      <c r="BL55" s="46">
        <f>VLOOKUP(AM55,'Scoring and Weighting'!$C$19:$F$23,4)</f>
        <v>30</v>
      </c>
      <c r="BM55" s="47">
        <f t="shared" si="3"/>
        <v>40</v>
      </c>
      <c r="BN55" s="46">
        <f>IFERROR(VLOOKUP('Summary Table for Print'!AK55,'Scoring and Weighting'!$C$35:$F$39,4,1),30)</f>
        <v>30</v>
      </c>
      <c r="BO55" s="46">
        <f t="shared" si="6"/>
        <v>60</v>
      </c>
      <c r="BP55" s="47">
        <f>IFERROR(VLOOKUP(AN55,'Scoring and Weighting'!$B$63:$C$65,2,FALSE),1)</f>
        <v>1</v>
      </c>
      <c r="BQ55" s="49">
        <f>BK55*'Scoring and Weighting'!$C$55*'Summary Table for Print'!BP55</f>
        <v>15</v>
      </c>
      <c r="BR55" s="49">
        <f>BL55*BP55*'Scoring and Weighting'!$C$56</f>
        <v>7.5</v>
      </c>
      <c r="BS55" s="49">
        <f>BP55*BM55*'Scoring and Weighting'!$C$57</f>
        <v>10</v>
      </c>
      <c r="BT55" s="49">
        <f>BP55*BN55*'Scoring and Weighting'!$C$58</f>
        <v>3</v>
      </c>
      <c r="BU55" s="49">
        <f>BP55*BO55*'Scoring and Weighting'!$C$59</f>
        <v>9</v>
      </c>
      <c r="BV55" s="50">
        <f t="shared" si="4"/>
        <v>44.5</v>
      </c>
    </row>
    <row r="56" spans="1:74" x14ac:dyDescent="0.25">
      <c r="A56" s="41" t="s">
        <v>153</v>
      </c>
      <c r="B56" s="41"/>
      <c r="C56" s="41">
        <v>36</v>
      </c>
      <c r="D56" s="41"/>
      <c r="E56" s="41"/>
      <c r="F56" s="41">
        <v>68</v>
      </c>
      <c r="G56" s="41" t="s">
        <v>178</v>
      </c>
      <c r="H56" s="41">
        <v>1</v>
      </c>
      <c r="I56" s="41">
        <v>0</v>
      </c>
      <c r="J56" s="41" t="str">
        <f>VLOOKUP(A56,'Table with Jurisdictions'!$A$4:$Q$129,17,0)</f>
        <v>Aliso Viejo</v>
      </c>
      <c r="K56" s="41" t="s">
        <v>50</v>
      </c>
      <c r="L56" s="41"/>
      <c r="M56" s="41" t="s">
        <v>51</v>
      </c>
      <c r="N56" s="41">
        <v>5440.4251447910601</v>
      </c>
      <c r="O56" s="41">
        <v>702719.39555376803</v>
      </c>
      <c r="P56" s="42">
        <v>211.57209036731101</v>
      </c>
      <c r="Q56" s="41">
        <v>81</v>
      </c>
      <c r="R56" s="41">
        <v>57</v>
      </c>
      <c r="S56" s="41">
        <v>100</v>
      </c>
      <c r="T56" s="41">
        <v>0</v>
      </c>
      <c r="U56" s="41">
        <v>0</v>
      </c>
      <c r="V56" s="41">
        <v>0</v>
      </c>
      <c r="W56" s="41">
        <v>0</v>
      </c>
      <c r="X56" s="41">
        <v>0</v>
      </c>
      <c r="Y56" s="41">
        <v>0</v>
      </c>
      <c r="Z56" s="41">
        <v>0</v>
      </c>
      <c r="AA56" s="41">
        <v>0</v>
      </c>
      <c r="AB56" s="41">
        <v>0</v>
      </c>
      <c r="AC56" s="41">
        <v>0</v>
      </c>
      <c r="AD56" s="41">
        <v>0</v>
      </c>
      <c r="AE56" s="41">
        <v>3</v>
      </c>
      <c r="AF56" s="41">
        <v>1.6666666666666601</v>
      </c>
      <c r="AG56" s="41">
        <v>8.3333333333332996E-2</v>
      </c>
      <c r="AH56" s="41">
        <v>0.30169172932330801</v>
      </c>
      <c r="AI56" s="41">
        <v>1.1810526315789001E-2</v>
      </c>
      <c r="AJ56" s="41">
        <v>5.0999999999999997E-2</v>
      </c>
      <c r="AK56" s="53">
        <f t="shared" si="5"/>
        <v>171.37339319752192</v>
      </c>
      <c r="AL56" s="43">
        <v>3.5933270676691997E-2</v>
      </c>
      <c r="AM56" s="43">
        <f>IF(ISBLANK(AT56),AL56*'ratio of flow'!$D$1,AT56)</f>
        <v>1.7739027331239682E-2</v>
      </c>
      <c r="AN56" s="44" t="s">
        <v>52</v>
      </c>
      <c r="AO56" s="44" t="s">
        <v>53</v>
      </c>
      <c r="AP56" s="44" t="s">
        <v>53</v>
      </c>
      <c r="AQ56" s="44" t="s">
        <v>114</v>
      </c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1"/>
      <c r="BD56" s="41"/>
      <c r="BE56" s="41"/>
      <c r="BF56" s="41"/>
      <c r="BG56" s="41"/>
      <c r="BH56" s="41"/>
      <c r="BI56" s="41"/>
      <c r="BJ56" s="41"/>
      <c r="BK56" s="46">
        <f>IFERROR(VLOOKUP(AQ56,'Scoring and Weighting'!$B$10:$C$12,2,FALSE),'Scoring and Weighting'!$C$13)</f>
        <v>60</v>
      </c>
      <c r="BL56" s="46">
        <f>VLOOKUP(AM56,'Scoring and Weighting'!$C$19:$F$23,4)</f>
        <v>50</v>
      </c>
      <c r="BM56" s="47">
        <f t="shared" si="3"/>
        <v>40</v>
      </c>
      <c r="BN56" s="46">
        <f>IFERROR(VLOOKUP('Summary Table for Print'!AK56,'Scoring and Weighting'!$C$35:$F$39,4,1),30)</f>
        <v>50</v>
      </c>
      <c r="BO56" s="46">
        <f t="shared" si="6"/>
        <v>60</v>
      </c>
      <c r="BP56" s="47">
        <f>IFERROR(VLOOKUP(AN56,'Scoring and Weighting'!$B$63:$C$65,2,FALSE),1)</f>
        <v>1</v>
      </c>
      <c r="BQ56" s="49">
        <f>BK56*'Scoring and Weighting'!$C$55*'Summary Table for Print'!BP56</f>
        <v>15</v>
      </c>
      <c r="BR56" s="49">
        <f>BL56*BP56*'Scoring and Weighting'!$C$56</f>
        <v>12.5</v>
      </c>
      <c r="BS56" s="49">
        <f>BP56*BM56*'Scoring and Weighting'!$C$57</f>
        <v>10</v>
      </c>
      <c r="BT56" s="49">
        <f>BP56*BN56*'Scoring and Weighting'!$C$58</f>
        <v>5</v>
      </c>
      <c r="BU56" s="49">
        <f>BP56*BO56*'Scoring and Weighting'!$C$59</f>
        <v>9</v>
      </c>
      <c r="BV56" s="50">
        <f t="shared" si="4"/>
        <v>51.5</v>
      </c>
    </row>
    <row r="57" spans="1:74" x14ac:dyDescent="0.25">
      <c r="A57" s="41" t="s">
        <v>152</v>
      </c>
      <c r="B57" s="41" t="s">
        <v>181</v>
      </c>
      <c r="C57" s="41">
        <v>48</v>
      </c>
      <c r="D57" s="41"/>
      <c r="E57" s="41"/>
      <c r="F57" s="41">
        <v>66</v>
      </c>
      <c r="G57" s="41" t="s">
        <v>182</v>
      </c>
      <c r="H57" s="41">
        <v>1</v>
      </c>
      <c r="I57" s="41">
        <v>0</v>
      </c>
      <c r="J57" s="41" t="str">
        <f>VLOOKUP(A57,'Table with Jurisdictions'!$A$4:$Q$129,17,0)</f>
        <v>Lake Forest</v>
      </c>
      <c r="K57" s="41" t="s">
        <v>50</v>
      </c>
      <c r="L57" s="41"/>
      <c r="M57" s="41" t="s">
        <v>51</v>
      </c>
      <c r="N57" s="41">
        <v>15951.29839537</v>
      </c>
      <c r="O57" s="41">
        <v>5938825.9259615699</v>
      </c>
      <c r="P57" s="42">
        <v>65.720770780448206</v>
      </c>
      <c r="Q57" s="41">
        <v>78</v>
      </c>
      <c r="R57" s="41">
        <v>78</v>
      </c>
      <c r="S57" s="41">
        <v>0</v>
      </c>
      <c r="T57" s="41">
        <v>0</v>
      </c>
      <c r="U57" s="41">
        <v>0</v>
      </c>
      <c r="V57" s="41">
        <v>0</v>
      </c>
      <c r="W57" s="41">
        <v>0</v>
      </c>
      <c r="X57" s="41">
        <v>0</v>
      </c>
      <c r="Y57" s="41">
        <v>100</v>
      </c>
      <c r="Z57" s="41">
        <v>0</v>
      </c>
      <c r="AA57" s="41">
        <v>0</v>
      </c>
      <c r="AB57" s="41">
        <v>0</v>
      </c>
      <c r="AC57" s="41">
        <v>0</v>
      </c>
      <c r="AD57" s="41">
        <v>0</v>
      </c>
      <c r="AE57" s="41">
        <v>1</v>
      </c>
      <c r="AF57" s="41">
        <v>0.41</v>
      </c>
      <c r="AG57" s="41">
        <v>0.04</v>
      </c>
      <c r="AH57" s="41">
        <v>1.5</v>
      </c>
      <c r="AI57" s="41">
        <v>2.0910000000000002E-2</v>
      </c>
      <c r="AJ57" s="41">
        <v>2.0910000000000002E-2</v>
      </c>
      <c r="AK57" s="53">
        <f t="shared" si="5"/>
        <v>51.262201208749602</v>
      </c>
      <c r="AL57" s="43">
        <v>2.0910000000000002E-2</v>
      </c>
      <c r="AM57" s="43">
        <f>IF(ISBLANK(AT57),AL57*'ratio of flow'!$D$1,AT57)</f>
        <v>1.0322552178274711E-2</v>
      </c>
      <c r="AN57" s="44"/>
      <c r="AO57" s="44"/>
      <c r="AP57" s="44"/>
      <c r="AQ57" s="44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1"/>
      <c r="BD57" s="41"/>
      <c r="BE57" s="41"/>
      <c r="BF57" s="41"/>
      <c r="BG57" s="41"/>
      <c r="BH57" s="41"/>
      <c r="BI57" s="41"/>
      <c r="BJ57" s="41"/>
      <c r="BK57" s="46">
        <f>IFERROR(VLOOKUP(AQ57,'Scoring and Weighting'!$B$10:$C$12,2,FALSE),'Scoring and Weighting'!$C$13)</f>
        <v>70</v>
      </c>
      <c r="BL57" s="46">
        <f>VLOOKUP(AM57,'Scoring and Weighting'!$C$19:$F$23,4)</f>
        <v>30</v>
      </c>
      <c r="BM57" s="47">
        <f t="shared" si="3"/>
        <v>40</v>
      </c>
      <c r="BN57" s="46">
        <f>IFERROR(VLOOKUP('Summary Table for Print'!AK57,'Scoring and Weighting'!$C$35:$F$39,4,1),30)</f>
        <v>30</v>
      </c>
      <c r="BO57" s="46">
        <f t="shared" si="6"/>
        <v>20</v>
      </c>
      <c r="BP57" s="47">
        <f>IFERROR(VLOOKUP(AN57,'Scoring and Weighting'!$B$63:$C$65,2,FALSE),1)</f>
        <v>1</v>
      </c>
      <c r="BQ57" s="49">
        <f>BK57*'Scoring and Weighting'!$C$55*'Summary Table for Print'!BP57</f>
        <v>17.5</v>
      </c>
      <c r="BR57" s="49">
        <f>BL57*BP57*'Scoring and Weighting'!$C$56</f>
        <v>7.5</v>
      </c>
      <c r="BS57" s="49">
        <f>BP57*BM57*'Scoring and Weighting'!$C$57</f>
        <v>10</v>
      </c>
      <c r="BT57" s="49">
        <f>BP57*BN57*'Scoring and Weighting'!$C$58</f>
        <v>3</v>
      </c>
      <c r="BU57" s="49">
        <f>BP57*BO57*'Scoring and Weighting'!$C$59</f>
        <v>3</v>
      </c>
      <c r="BV57" s="50">
        <f t="shared" si="4"/>
        <v>41</v>
      </c>
    </row>
    <row r="58" spans="1:74" x14ac:dyDescent="0.25">
      <c r="A58" s="41" t="s">
        <v>163</v>
      </c>
      <c r="B58" s="41" t="s">
        <v>184</v>
      </c>
      <c r="C58" s="41">
        <v>36</v>
      </c>
      <c r="D58" s="41"/>
      <c r="E58" s="41"/>
      <c r="F58" s="41">
        <v>42</v>
      </c>
      <c r="G58" s="41" t="s">
        <v>185</v>
      </c>
      <c r="H58" s="41">
        <v>1</v>
      </c>
      <c r="I58" s="41">
        <v>0</v>
      </c>
      <c r="J58" s="41" t="str">
        <f>VLOOKUP(A58,'Table with Jurisdictions'!$A$4:$Q$129,17,0)</f>
        <v>Mission Viejo</v>
      </c>
      <c r="K58" s="41" t="s">
        <v>50</v>
      </c>
      <c r="L58" s="41"/>
      <c r="M58" s="41" t="s">
        <v>51</v>
      </c>
      <c r="N58" s="41">
        <v>15237.324781506801</v>
      </c>
      <c r="O58" s="41">
        <v>9789225.00427958</v>
      </c>
      <c r="P58" s="42">
        <v>82.121706347250907</v>
      </c>
      <c r="Q58" s="41">
        <v>100</v>
      </c>
      <c r="R58" s="41">
        <v>65</v>
      </c>
      <c r="S58" s="41">
        <v>0</v>
      </c>
      <c r="T58" s="41">
        <v>0</v>
      </c>
      <c r="U58" s="41">
        <v>0</v>
      </c>
      <c r="V58" s="41">
        <v>0</v>
      </c>
      <c r="W58" s="41">
        <v>0</v>
      </c>
      <c r="X58" s="41">
        <v>0</v>
      </c>
      <c r="Y58" s="41">
        <v>3</v>
      </c>
      <c r="Z58" s="41">
        <v>97</v>
      </c>
      <c r="AA58" s="41">
        <v>0</v>
      </c>
      <c r="AB58" s="41">
        <v>0</v>
      </c>
      <c r="AC58" s="41">
        <v>0</v>
      </c>
      <c r="AD58" s="41">
        <v>0</v>
      </c>
      <c r="AE58" s="41">
        <v>2</v>
      </c>
      <c r="AF58" s="41">
        <v>0.65</v>
      </c>
      <c r="AG58" s="41">
        <v>0.02</v>
      </c>
      <c r="AH58" s="41">
        <v>0.7</v>
      </c>
      <c r="AI58" s="41">
        <v>2.0400000000000001E-3</v>
      </c>
      <c r="AJ58" s="41">
        <v>1.7850000000000001E-2</v>
      </c>
      <c r="AK58" s="53">
        <f t="shared" si="5"/>
        <v>82.121706347250907</v>
      </c>
      <c r="AL58" s="43">
        <v>9.9450000000000007E-3</v>
      </c>
      <c r="AM58" s="43">
        <f>IF(ISBLANK(AT58),AL58*'ratio of flow'!$D$1,AT58)</f>
        <v>4.909506523813582E-3</v>
      </c>
      <c r="AN58" s="44"/>
      <c r="AO58" s="44"/>
      <c r="AP58" s="44"/>
      <c r="AQ58" s="44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1"/>
      <c r="BD58" s="41"/>
      <c r="BE58" s="41"/>
      <c r="BF58" s="41"/>
      <c r="BG58" s="41"/>
      <c r="BH58" s="41"/>
      <c r="BI58" s="41"/>
      <c r="BJ58" s="41"/>
      <c r="BK58" s="46">
        <f>IFERROR(VLOOKUP(AQ58,'Scoring and Weighting'!$B$10:$C$12,2,FALSE),'Scoring and Weighting'!$C$13)</f>
        <v>70</v>
      </c>
      <c r="BL58" s="46">
        <f>VLOOKUP(AM58,'Scoring and Weighting'!$C$19:$F$23,4)</f>
        <v>30</v>
      </c>
      <c r="BM58" s="47">
        <f t="shared" si="3"/>
        <v>40</v>
      </c>
      <c r="BN58" s="46">
        <f>IFERROR(VLOOKUP('Summary Table for Print'!AK58,'Scoring and Weighting'!$C$35:$F$39,4,1),30)</f>
        <v>30</v>
      </c>
      <c r="BO58" s="46">
        <f t="shared" si="6"/>
        <v>40</v>
      </c>
      <c r="BP58" s="47">
        <f>IFERROR(VLOOKUP(AN58,'Scoring and Weighting'!$B$63:$C$65,2,FALSE),1)</f>
        <v>1</v>
      </c>
      <c r="BQ58" s="49">
        <f>BK58*'Scoring and Weighting'!$C$55*'Summary Table for Print'!BP58</f>
        <v>17.5</v>
      </c>
      <c r="BR58" s="49">
        <f>BL58*BP58*'Scoring and Weighting'!$C$56</f>
        <v>7.5</v>
      </c>
      <c r="BS58" s="49">
        <f>BP58*BM58*'Scoring and Weighting'!$C$57</f>
        <v>10</v>
      </c>
      <c r="BT58" s="49">
        <f>BP58*BN58*'Scoring and Weighting'!$C$58</f>
        <v>3</v>
      </c>
      <c r="BU58" s="49">
        <f>BP58*BO58*'Scoring and Weighting'!$C$59</f>
        <v>6</v>
      </c>
      <c r="BV58" s="50">
        <f t="shared" si="4"/>
        <v>44</v>
      </c>
    </row>
    <row r="59" spans="1:74" x14ac:dyDescent="0.25">
      <c r="A59" s="41" t="s">
        <v>256</v>
      </c>
      <c r="B59" s="41"/>
      <c r="C59" s="41">
        <v>54</v>
      </c>
      <c r="D59" s="41"/>
      <c r="E59" s="41"/>
      <c r="F59" s="41">
        <v>749</v>
      </c>
      <c r="G59" s="41" t="s">
        <v>95</v>
      </c>
      <c r="H59" s="41">
        <v>1</v>
      </c>
      <c r="I59" s="41">
        <v>0</v>
      </c>
      <c r="J59" s="41" t="str">
        <f>VLOOKUP(A59,'Table with Jurisdictions'!$A$4:$Q$129,17,0)</f>
        <v>Aliso Viejo</v>
      </c>
      <c r="K59" s="41" t="s">
        <v>50</v>
      </c>
      <c r="L59" s="41"/>
      <c r="M59" s="41" t="s">
        <v>51</v>
      </c>
      <c r="N59" s="41">
        <v>14419.4271838557</v>
      </c>
      <c r="O59" s="41">
        <v>4602773.8761347197</v>
      </c>
      <c r="P59" s="42">
        <v>124.660760655133</v>
      </c>
      <c r="Q59" s="41">
        <v>84</v>
      </c>
      <c r="R59" s="41">
        <v>82</v>
      </c>
      <c r="S59" s="41">
        <v>98</v>
      </c>
      <c r="T59" s="41">
        <v>0</v>
      </c>
      <c r="U59" s="41">
        <v>0</v>
      </c>
      <c r="V59" s="41">
        <v>0</v>
      </c>
      <c r="W59" s="41">
        <v>0</v>
      </c>
      <c r="X59" s="41">
        <v>0</v>
      </c>
      <c r="Y59" s="41">
        <v>0</v>
      </c>
      <c r="Z59" s="41">
        <v>0</v>
      </c>
      <c r="AA59" s="41">
        <v>2</v>
      </c>
      <c r="AB59" s="41">
        <v>0</v>
      </c>
      <c r="AC59" s="41">
        <v>0</v>
      </c>
      <c r="AD59" s="41">
        <v>0</v>
      </c>
      <c r="AE59" s="41">
        <v>1</v>
      </c>
      <c r="AF59" s="41">
        <v>1.05</v>
      </c>
      <c r="AG59" s="41">
        <v>4.4999999999999998E-2</v>
      </c>
      <c r="AH59" s="41">
        <v>1.8181818181818099</v>
      </c>
      <c r="AI59" s="41">
        <v>7.3022727272727003E-2</v>
      </c>
      <c r="AJ59" s="41">
        <v>7.3022727272727003E-2</v>
      </c>
      <c r="AK59" s="53">
        <f t="shared" si="5"/>
        <v>104.71503895031172</v>
      </c>
      <c r="AL59" s="43">
        <v>7.3022727272727003E-2</v>
      </c>
      <c r="AM59" s="43">
        <f>IF(ISBLANK(AT59),AL59*'ratio of flow'!$D$1,AT59)</f>
        <v>3.6048824125903788E-2</v>
      </c>
      <c r="AN59" s="44"/>
      <c r="AO59" s="44"/>
      <c r="AP59" s="44"/>
      <c r="AQ59" s="44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1"/>
      <c r="BD59" s="41"/>
      <c r="BE59" s="41"/>
      <c r="BF59" s="41"/>
      <c r="BG59" s="41"/>
      <c r="BH59" s="41"/>
      <c r="BI59" s="41"/>
      <c r="BJ59" s="41"/>
      <c r="BK59" s="46">
        <f>IFERROR(VLOOKUP(AQ59,'Scoring and Weighting'!$B$10:$C$12,2,FALSE),'Scoring and Weighting'!$C$13)</f>
        <v>70</v>
      </c>
      <c r="BL59" s="46">
        <f>VLOOKUP(AM59,'Scoring and Weighting'!$C$19:$F$23,4)</f>
        <v>50</v>
      </c>
      <c r="BM59" s="47">
        <f t="shared" si="3"/>
        <v>40</v>
      </c>
      <c r="BN59" s="46">
        <f>IFERROR(VLOOKUP('Summary Table for Print'!AK59,'Scoring and Weighting'!$C$35:$F$39,4,1),30)</f>
        <v>30</v>
      </c>
      <c r="BO59" s="46">
        <f t="shared" si="6"/>
        <v>20</v>
      </c>
      <c r="BP59" s="47">
        <f>IFERROR(VLOOKUP(AN59,'Scoring and Weighting'!$B$63:$C$65,2,FALSE),1)</f>
        <v>1</v>
      </c>
      <c r="BQ59" s="49">
        <f>BK59*'Scoring and Weighting'!$C$55*'Summary Table for Print'!BP59</f>
        <v>17.5</v>
      </c>
      <c r="BR59" s="49">
        <f>BL59*BP59*'Scoring and Weighting'!$C$56</f>
        <v>12.5</v>
      </c>
      <c r="BS59" s="49">
        <f>BP59*BM59*'Scoring and Weighting'!$C$57</f>
        <v>10</v>
      </c>
      <c r="BT59" s="49">
        <f>BP59*BN59*'Scoring and Weighting'!$C$58</f>
        <v>3</v>
      </c>
      <c r="BU59" s="49">
        <f>BP59*BO59*'Scoring and Weighting'!$C$59</f>
        <v>3</v>
      </c>
      <c r="BV59" s="50">
        <f t="shared" si="4"/>
        <v>46</v>
      </c>
    </row>
    <row r="60" spans="1:74" x14ac:dyDescent="0.25">
      <c r="A60" s="41" t="s">
        <v>142</v>
      </c>
      <c r="B60" s="41" t="s">
        <v>188</v>
      </c>
      <c r="C60" s="41"/>
      <c r="D60" s="41">
        <v>53</v>
      </c>
      <c r="E60" s="41">
        <v>120</v>
      </c>
      <c r="F60" s="41">
        <v>618</v>
      </c>
      <c r="G60" s="41" t="s">
        <v>95</v>
      </c>
      <c r="H60" s="41">
        <v>1</v>
      </c>
      <c r="I60" s="41">
        <v>1</v>
      </c>
      <c r="J60" s="41" t="str">
        <f>VLOOKUP(A60,'Table with Jurisdictions'!$A$4:$Q$129,17,0)</f>
        <v>Aliso Viejo</v>
      </c>
      <c r="K60" s="41" t="s">
        <v>50</v>
      </c>
      <c r="L60" s="41"/>
      <c r="M60" s="41" t="s">
        <v>51</v>
      </c>
      <c r="N60" s="41">
        <v>27515.828511582698</v>
      </c>
      <c r="O60" s="41">
        <v>17119285.968831599</v>
      </c>
      <c r="P60" s="42">
        <v>286.38606853925103</v>
      </c>
      <c r="Q60" s="41">
        <v>77</v>
      </c>
      <c r="R60" s="41">
        <v>31</v>
      </c>
      <c r="S60" s="41">
        <v>100</v>
      </c>
      <c r="T60" s="41">
        <v>0</v>
      </c>
      <c r="U60" s="41">
        <v>0</v>
      </c>
      <c r="V60" s="41">
        <v>0</v>
      </c>
      <c r="W60" s="41">
        <v>0</v>
      </c>
      <c r="X60" s="41">
        <v>0</v>
      </c>
      <c r="Y60" s="41">
        <v>0</v>
      </c>
      <c r="Z60" s="41">
        <v>0</v>
      </c>
      <c r="AA60" s="41">
        <v>0</v>
      </c>
      <c r="AB60" s="41">
        <v>0</v>
      </c>
      <c r="AC60" s="41">
        <v>0</v>
      </c>
      <c r="AD60" s="41">
        <v>0</v>
      </c>
      <c r="AE60" s="41">
        <v>1</v>
      </c>
      <c r="AF60" s="41">
        <v>1.4</v>
      </c>
      <c r="AG60" s="41">
        <v>0.12</v>
      </c>
      <c r="AH60" s="41">
        <v>2</v>
      </c>
      <c r="AI60" s="41">
        <v>0.28560000000000002</v>
      </c>
      <c r="AJ60" s="41">
        <v>0.28560000000000002</v>
      </c>
      <c r="AK60" s="53">
        <f t="shared" si="5"/>
        <v>220.51727277522329</v>
      </c>
      <c r="AL60" s="43">
        <v>0.28560000000000002</v>
      </c>
      <c r="AM60" s="43">
        <f>IF(ISBLANK(AT60),AL60*'ratio of flow'!$D$1,AT60)</f>
        <v>0.14099095658131314</v>
      </c>
      <c r="AN60" s="44"/>
      <c r="AO60" s="44"/>
      <c r="AP60" s="44"/>
      <c r="AQ60" s="44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1"/>
      <c r="BD60" s="41"/>
      <c r="BE60" s="41"/>
      <c r="BF60" s="41"/>
      <c r="BG60" s="41"/>
      <c r="BH60" s="41"/>
      <c r="BI60" s="41"/>
      <c r="BJ60" s="41"/>
      <c r="BK60" s="46">
        <f>IFERROR(VLOOKUP(AQ60,'Scoring and Weighting'!$B$10:$C$12,2,FALSE),'Scoring and Weighting'!$C$13)</f>
        <v>70</v>
      </c>
      <c r="BL60" s="46">
        <f>VLOOKUP(AM60,'Scoring and Weighting'!$C$19:$F$23,4)</f>
        <v>90</v>
      </c>
      <c r="BM60" s="47">
        <f t="shared" si="3"/>
        <v>40</v>
      </c>
      <c r="BN60" s="46">
        <f>IFERROR(VLOOKUP('Summary Table for Print'!AK60,'Scoring and Weighting'!$C$35:$F$39,4,1),30)</f>
        <v>70</v>
      </c>
      <c r="BO60" s="46">
        <f t="shared" si="6"/>
        <v>20</v>
      </c>
      <c r="BP60" s="47">
        <f>IFERROR(VLOOKUP(AN60,'Scoring and Weighting'!$B$63:$C$65,2,FALSE),1)</f>
        <v>1</v>
      </c>
      <c r="BQ60" s="49">
        <f>BK60*'Scoring and Weighting'!$C$55*'Summary Table for Print'!BP60</f>
        <v>17.5</v>
      </c>
      <c r="BR60" s="49">
        <f>BL60*BP60*'Scoring and Weighting'!$C$56</f>
        <v>22.5</v>
      </c>
      <c r="BS60" s="49">
        <f>BP60*BM60*'Scoring and Weighting'!$C$57</f>
        <v>10</v>
      </c>
      <c r="BT60" s="49">
        <f>BP60*BN60*'Scoring and Weighting'!$C$58</f>
        <v>7</v>
      </c>
      <c r="BU60" s="49">
        <f>BP60*BO60*'Scoring and Weighting'!$C$59</f>
        <v>3</v>
      </c>
      <c r="BV60" s="50">
        <f t="shared" si="4"/>
        <v>60</v>
      </c>
    </row>
    <row r="61" spans="1:74" x14ac:dyDescent="0.25">
      <c r="A61" s="41" t="s">
        <v>161</v>
      </c>
      <c r="B61" s="41"/>
      <c r="C61" s="41">
        <v>42</v>
      </c>
      <c r="D61" s="41"/>
      <c r="E61" s="41"/>
      <c r="F61" s="41">
        <v>766</v>
      </c>
      <c r="G61" s="41" t="s">
        <v>95</v>
      </c>
      <c r="H61" s="41">
        <v>1</v>
      </c>
      <c r="I61" s="41">
        <v>0</v>
      </c>
      <c r="J61" s="41" t="str">
        <f>VLOOKUP(A61,'Table with Jurisdictions'!$A$4:$Q$129,17,0)</f>
        <v>Aliso Viejo</v>
      </c>
      <c r="K61" s="41" t="s">
        <v>50</v>
      </c>
      <c r="L61" s="41"/>
      <c r="M61" s="41" t="s">
        <v>51</v>
      </c>
      <c r="N61" s="41">
        <v>8982.1031755251497</v>
      </c>
      <c r="O61" s="41">
        <v>2471286.75228329</v>
      </c>
      <c r="P61" s="42">
        <v>175.45178483561901</v>
      </c>
      <c r="Q61" s="41">
        <v>68</v>
      </c>
      <c r="R61" s="41">
        <v>35</v>
      </c>
      <c r="S61" s="41">
        <v>100</v>
      </c>
      <c r="T61" s="41">
        <v>0</v>
      </c>
      <c r="U61" s="41">
        <v>0</v>
      </c>
      <c r="V61" s="41">
        <v>0</v>
      </c>
      <c r="W61" s="41">
        <v>0</v>
      </c>
      <c r="X61" s="41">
        <v>0</v>
      </c>
      <c r="Y61" s="41">
        <v>0</v>
      </c>
      <c r="Z61" s="41">
        <v>0</v>
      </c>
      <c r="AA61" s="41">
        <v>0</v>
      </c>
      <c r="AB61" s="41">
        <v>0</v>
      </c>
      <c r="AC61" s="41">
        <v>0</v>
      </c>
      <c r="AD61" s="41">
        <v>0</v>
      </c>
      <c r="AE61" s="41">
        <v>4</v>
      </c>
      <c r="AF61" s="41">
        <v>0.7</v>
      </c>
      <c r="AG61" s="41">
        <v>1.4999999999999999E-2</v>
      </c>
      <c r="AH61" s="41">
        <v>0.371428571428571</v>
      </c>
      <c r="AI61" s="41">
        <v>8.4999999999999995E-4</v>
      </c>
      <c r="AJ61" s="41">
        <v>1.5299999999999999E-2</v>
      </c>
      <c r="AK61" s="53">
        <f t="shared" si="5"/>
        <v>119.30721368822093</v>
      </c>
      <c r="AL61" s="43">
        <v>4.9583333333329998E-3</v>
      </c>
      <c r="AM61" s="43">
        <f>IF(ISBLANK(AT61),AL61*'ratio of flow'!$D$1,AT61)</f>
        <v>2.4477596628698548E-3</v>
      </c>
      <c r="AN61" s="44" t="s">
        <v>52</v>
      </c>
      <c r="AO61" s="44" t="s">
        <v>53</v>
      </c>
      <c r="AP61" s="44" t="s">
        <v>53</v>
      </c>
      <c r="AQ61" s="44" t="s">
        <v>114</v>
      </c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1"/>
      <c r="BD61" s="41"/>
      <c r="BE61" s="41"/>
      <c r="BF61" s="41"/>
      <c r="BG61" s="41"/>
      <c r="BH61" s="41"/>
      <c r="BI61" s="41"/>
      <c r="BJ61" s="41"/>
      <c r="BK61" s="46">
        <f>IFERROR(VLOOKUP(AQ61,'Scoring and Weighting'!$B$10:$C$12,2,FALSE),'Scoring and Weighting'!$C$13)</f>
        <v>60</v>
      </c>
      <c r="BL61" s="46">
        <f>VLOOKUP(AM61,'Scoring and Weighting'!$C$19:$F$23,4)</f>
        <v>30</v>
      </c>
      <c r="BM61" s="47">
        <f t="shared" si="3"/>
        <v>40</v>
      </c>
      <c r="BN61" s="46">
        <f>IFERROR(VLOOKUP('Summary Table for Print'!AK61,'Scoring and Weighting'!$C$35:$F$39,4,1),30)</f>
        <v>30</v>
      </c>
      <c r="BO61" s="46">
        <f t="shared" si="6"/>
        <v>60</v>
      </c>
      <c r="BP61" s="47">
        <f>IFERROR(VLOOKUP(AN61,'Scoring and Weighting'!$B$63:$C$65,2,FALSE),1)</f>
        <v>1</v>
      </c>
      <c r="BQ61" s="49">
        <f>BK61*'Scoring and Weighting'!$C$55*'Summary Table for Print'!BP61</f>
        <v>15</v>
      </c>
      <c r="BR61" s="49">
        <f>BL61*BP61*'Scoring and Weighting'!$C$56</f>
        <v>7.5</v>
      </c>
      <c r="BS61" s="49">
        <f>BP61*BM61*'Scoring and Weighting'!$C$57</f>
        <v>10</v>
      </c>
      <c r="BT61" s="49">
        <f>BP61*BN61*'Scoring and Weighting'!$C$58</f>
        <v>3</v>
      </c>
      <c r="BU61" s="49">
        <f>BP61*BO61*'Scoring and Weighting'!$C$59</f>
        <v>9</v>
      </c>
      <c r="BV61" s="50">
        <f t="shared" si="4"/>
        <v>44.5</v>
      </c>
    </row>
    <row r="62" spans="1:74" x14ac:dyDescent="0.25">
      <c r="A62" s="41" t="s">
        <v>138</v>
      </c>
      <c r="B62" s="41" t="s">
        <v>191</v>
      </c>
      <c r="C62" s="41">
        <v>90</v>
      </c>
      <c r="D62" s="41">
        <v>72</v>
      </c>
      <c r="E62" s="41"/>
      <c r="F62" s="41">
        <v>541</v>
      </c>
      <c r="G62" s="41" t="s">
        <v>62</v>
      </c>
      <c r="H62" s="41">
        <v>1</v>
      </c>
      <c r="I62" s="41">
        <v>1</v>
      </c>
      <c r="J62" s="41" t="str">
        <f>VLOOKUP(A62,'Table with Jurisdictions'!$A$4:$Q$129,17,0)</f>
        <v>Aliso Viejo</v>
      </c>
      <c r="K62" s="41" t="s">
        <v>50</v>
      </c>
      <c r="L62" s="41"/>
      <c r="M62" s="41" t="s">
        <v>51</v>
      </c>
      <c r="N62" s="41">
        <v>16253.840011808599</v>
      </c>
      <c r="O62" s="41">
        <v>9686195.96827369</v>
      </c>
      <c r="P62" s="42">
        <v>193.49295990548299</v>
      </c>
      <c r="Q62" s="41">
        <v>82</v>
      </c>
      <c r="R62" s="41">
        <v>52</v>
      </c>
      <c r="S62" s="41">
        <v>100</v>
      </c>
      <c r="T62" s="41">
        <v>0</v>
      </c>
      <c r="U62" s="41">
        <v>0</v>
      </c>
      <c r="V62" s="41">
        <v>0</v>
      </c>
      <c r="W62" s="41">
        <v>0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41">
        <v>0</v>
      </c>
      <c r="AD62" s="41">
        <v>0</v>
      </c>
      <c r="AE62" s="41">
        <v>1</v>
      </c>
      <c r="AF62" s="41">
        <v>1.75</v>
      </c>
      <c r="AG62" s="41">
        <v>0.12</v>
      </c>
      <c r="AH62" s="41">
        <v>0.05</v>
      </c>
      <c r="AI62" s="41">
        <v>8.9250000000000006E-3</v>
      </c>
      <c r="AJ62" s="41">
        <v>8.9250000000000006E-3</v>
      </c>
      <c r="AK62" s="53">
        <f t="shared" si="5"/>
        <v>158.66422712249604</v>
      </c>
      <c r="AL62" s="43">
        <v>8.9250000000000006E-3</v>
      </c>
      <c r="AM62" s="43">
        <f>IF(ISBLANK(AT62),AL62*'ratio of flow'!$D$1,AT62)</f>
        <v>4.4059673931660355E-3</v>
      </c>
      <c r="AN62" s="44"/>
      <c r="AO62" s="44"/>
      <c r="AP62" s="44"/>
      <c r="AQ62" s="44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1"/>
      <c r="BD62" s="41"/>
      <c r="BE62" s="41"/>
      <c r="BF62" s="41"/>
      <c r="BG62" s="41"/>
      <c r="BH62" s="41"/>
      <c r="BI62" s="41"/>
      <c r="BJ62" s="41"/>
      <c r="BK62" s="46">
        <f>IFERROR(VLOOKUP(AQ62,'Scoring and Weighting'!$B$10:$C$12,2,FALSE),'Scoring and Weighting'!$C$13)</f>
        <v>70</v>
      </c>
      <c r="BL62" s="46">
        <f>VLOOKUP(AM62,'Scoring and Weighting'!$C$19:$F$23,4)</f>
        <v>30</v>
      </c>
      <c r="BM62" s="47">
        <f t="shared" si="3"/>
        <v>40</v>
      </c>
      <c r="BN62" s="46">
        <f>IFERROR(VLOOKUP('Summary Table for Print'!AK62,'Scoring and Weighting'!$C$35:$F$39,4,1),30)</f>
        <v>50</v>
      </c>
      <c r="BO62" s="46">
        <f t="shared" si="6"/>
        <v>20</v>
      </c>
      <c r="BP62" s="47">
        <f>IFERROR(VLOOKUP(AN62,'Scoring and Weighting'!$B$63:$C$65,2,FALSE),1)</f>
        <v>1</v>
      </c>
      <c r="BQ62" s="49">
        <f>BK62*'Scoring and Weighting'!$C$55*'Summary Table for Print'!BP62</f>
        <v>17.5</v>
      </c>
      <c r="BR62" s="49">
        <f>BL62*BP62*'Scoring and Weighting'!$C$56</f>
        <v>7.5</v>
      </c>
      <c r="BS62" s="49">
        <f>BP62*BM62*'Scoring and Weighting'!$C$57</f>
        <v>10</v>
      </c>
      <c r="BT62" s="49">
        <f>BP62*BN62*'Scoring and Weighting'!$C$58</f>
        <v>5</v>
      </c>
      <c r="BU62" s="49">
        <f>BP62*BO62*'Scoring and Weighting'!$C$59</f>
        <v>3</v>
      </c>
      <c r="BV62" s="50">
        <f t="shared" si="4"/>
        <v>43</v>
      </c>
    </row>
    <row r="63" spans="1:74" x14ac:dyDescent="0.25">
      <c r="A63" s="41" t="s">
        <v>173</v>
      </c>
      <c r="B63" s="41"/>
      <c r="C63" s="41">
        <v>48</v>
      </c>
      <c r="D63" s="41"/>
      <c r="E63" s="41"/>
      <c r="F63" s="41">
        <v>766</v>
      </c>
      <c r="G63" s="41" t="s">
        <v>95</v>
      </c>
      <c r="H63" s="41">
        <v>1</v>
      </c>
      <c r="I63" s="41">
        <v>0</v>
      </c>
      <c r="J63" s="41" t="str">
        <f>VLOOKUP(A63,'Table with Jurisdictions'!$A$4:$Q$129,17,0)</f>
        <v>Aliso Viejo</v>
      </c>
      <c r="K63" s="41" t="s">
        <v>50</v>
      </c>
      <c r="L63" s="41"/>
      <c r="M63" s="41" t="s">
        <v>51</v>
      </c>
      <c r="N63" s="41">
        <v>4036.3410189086999</v>
      </c>
      <c r="O63" s="41">
        <v>919987.69033703499</v>
      </c>
      <c r="P63" s="42">
        <v>137.37665274898299</v>
      </c>
      <c r="Q63" s="41">
        <v>91</v>
      </c>
      <c r="R63" s="41">
        <v>91</v>
      </c>
      <c r="S63" s="41">
        <v>99</v>
      </c>
      <c r="T63" s="41">
        <v>0</v>
      </c>
      <c r="U63" s="41">
        <v>0</v>
      </c>
      <c r="V63" s="41">
        <v>0</v>
      </c>
      <c r="W63" s="41">
        <v>0</v>
      </c>
      <c r="X63" s="41">
        <v>0</v>
      </c>
      <c r="Y63" s="41">
        <v>0</v>
      </c>
      <c r="Z63" s="41">
        <v>0</v>
      </c>
      <c r="AA63" s="41">
        <v>1</v>
      </c>
      <c r="AB63" s="41">
        <v>0</v>
      </c>
      <c r="AC63" s="41">
        <v>0</v>
      </c>
      <c r="AD63" s="41">
        <v>0</v>
      </c>
      <c r="AE63" s="41">
        <v>1</v>
      </c>
      <c r="AF63" s="41">
        <v>1</v>
      </c>
      <c r="AG63" s="41">
        <v>0.05</v>
      </c>
      <c r="AH63" s="41">
        <v>1</v>
      </c>
      <c r="AI63" s="41">
        <v>4.2500000000000003E-2</v>
      </c>
      <c r="AJ63" s="41">
        <v>4.2500000000000003E-2</v>
      </c>
      <c r="AK63" s="53">
        <f t="shared" si="5"/>
        <v>125.01275400157452</v>
      </c>
      <c r="AL63" s="43">
        <v>4.2500000000000003E-2</v>
      </c>
      <c r="AM63" s="43">
        <f>IF(ISBLANK(AT63),AL63*'ratio of flow'!$D$1,AT63)</f>
        <v>2.0980797110314454E-2</v>
      </c>
      <c r="AN63" s="44"/>
      <c r="AO63" s="44"/>
      <c r="AP63" s="44"/>
      <c r="AQ63" s="44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1"/>
      <c r="BD63" s="41"/>
      <c r="BE63" s="41"/>
      <c r="BF63" s="41"/>
      <c r="BG63" s="41"/>
      <c r="BH63" s="41"/>
      <c r="BI63" s="41"/>
      <c r="BJ63" s="41"/>
      <c r="BK63" s="46">
        <f>IFERROR(VLOOKUP(AQ63,'Scoring and Weighting'!$B$10:$C$12,2,FALSE),'Scoring and Weighting'!$C$13)</f>
        <v>70</v>
      </c>
      <c r="BL63" s="46">
        <f>VLOOKUP(AM63,'Scoring and Weighting'!$C$19:$F$23,4)</f>
        <v>50</v>
      </c>
      <c r="BM63" s="47">
        <f t="shared" si="3"/>
        <v>40</v>
      </c>
      <c r="BN63" s="46">
        <f>IFERROR(VLOOKUP('Summary Table for Print'!AK63,'Scoring and Weighting'!$C$35:$F$39,4,1),30)</f>
        <v>30</v>
      </c>
      <c r="BO63" s="46">
        <f t="shared" si="6"/>
        <v>20</v>
      </c>
      <c r="BP63" s="47">
        <f>IFERROR(VLOOKUP(AN63,'Scoring and Weighting'!$B$63:$C$65,2,FALSE),1)</f>
        <v>1</v>
      </c>
      <c r="BQ63" s="49">
        <f>BK63*'Scoring and Weighting'!$C$55*'Summary Table for Print'!BP63</f>
        <v>17.5</v>
      </c>
      <c r="BR63" s="49">
        <f>BL63*BP63*'Scoring and Weighting'!$C$56</f>
        <v>12.5</v>
      </c>
      <c r="BS63" s="49">
        <f>BP63*BM63*'Scoring and Weighting'!$C$57</f>
        <v>10</v>
      </c>
      <c r="BT63" s="49">
        <f>BP63*BN63*'Scoring and Weighting'!$C$58</f>
        <v>3</v>
      </c>
      <c r="BU63" s="49">
        <f>BP63*BO63*'Scoring and Weighting'!$C$59</f>
        <v>3</v>
      </c>
      <c r="BV63" s="50">
        <f t="shared" si="4"/>
        <v>46</v>
      </c>
    </row>
    <row r="64" spans="1:74" x14ac:dyDescent="0.25">
      <c r="A64" s="41" t="s">
        <v>151</v>
      </c>
      <c r="B64" s="41" t="s">
        <v>194</v>
      </c>
      <c r="C64" s="41">
        <v>5</v>
      </c>
      <c r="D64" s="41">
        <v>10</v>
      </c>
      <c r="E64" s="41"/>
      <c r="F64" s="41">
        <v>766</v>
      </c>
      <c r="G64" s="41" t="s">
        <v>95</v>
      </c>
      <c r="H64" s="41">
        <v>1</v>
      </c>
      <c r="I64" s="41">
        <v>1</v>
      </c>
      <c r="J64" s="41" t="str">
        <f>VLOOKUP(A64,'Table with Jurisdictions'!$A$4:$Q$129,17,0)</f>
        <v>Lake Forest</v>
      </c>
      <c r="K64" s="41" t="s">
        <v>50</v>
      </c>
      <c r="L64" s="41"/>
      <c r="M64" s="41" t="s">
        <v>51</v>
      </c>
      <c r="N64" s="41">
        <v>19042.267403750298</v>
      </c>
      <c r="O64" s="41">
        <v>8483748.4057638701</v>
      </c>
      <c r="P64" s="42">
        <v>69.706749792341895</v>
      </c>
      <c r="Q64" s="41">
        <v>55</v>
      </c>
      <c r="R64" s="41">
        <v>55</v>
      </c>
      <c r="S64" s="41">
        <v>0</v>
      </c>
      <c r="T64" s="41">
        <v>0</v>
      </c>
      <c r="U64" s="41">
        <v>0</v>
      </c>
      <c r="V64" s="41">
        <v>0</v>
      </c>
      <c r="W64" s="41">
        <v>0</v>
      </c>
      <c r="X64" s="41">
        <v>0</v>
      </c>
      <c r="Y64" s="41">
        <v>100</v>
      </c>
      <c r="Z64" s="41">
        <v>0</v>
      </c>
      <c r="AA64" s="41">
        <v>0</v>
      </c>
      <c r="AB64" s="41">
        <v>0</v>
      </c>
      <c r="AC64" s="41">
        <v>0</v>
      </c>
      <c r="AD64" s="41">
        <v>0</v>
      </c>
      <c r="AE64" s="41">
        <v>1</v>
      </c>
      <c r="AF64" s="41">
        <v>0.5</v>
      </c>
      <c r="AG64" s="41">
        <v>0.01</v>
      </c>
      <c r="AH64" s="41">
        <v>2</v>
      </c>
      <c r="AI64" s="41">
        <v>8.5000000000000006E-3</v>
      </c>
      <c r="AJ64" s="41">
        <v>8.5000000000000006E-3</v>
      </c>
      <c r="AK64" s="53">
        <f t="shared" si="5"/>
        <v>38.338712385788043</v>
      </c>
      <c r="AL64" s="43">
        <v>8.5000000000000006E-3</v>
      </c>
      <c r="AM64" s="43">
        <f>IF(ISBLANK(AT64),AL64*'ratio of flow'!$D$1,AT64)</f>
        <v>4.1961594220628912E-3</v>
      </c>
      <c r="AN64" s="44"/>
      <c r="AO64" s="44"/>
      <c r="AP64" s="44"/>
      <c r="AQ64" s="44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1"/>
      <c r="BD64" s="41"/>
      <c r="BE64" s="41"/>
      <c r="BF64" s="41"/>
      <c r="BG64" s="41"/>
      <c r="BH64" s="41"/>
      <c r="BI64" s="41"/>
      <c r="BJ64" s="41"/>
      <c r="BK64" s="46">
        <f>IFERROR(VLOOKUP(AQ64,'Scoring and Weighting'!$B$10:$C$12,2,FALSE),'Scoring and Weighting'!$C$13)</f>
        <v>70</v>
      </c>
      <c r="BL64" s="46">
        <f>VLOOKUP(AM64,'Scoring and Weighting'!$C$19:$F$23,4)</f>
        <v>30</v>
      </c>
      <c r="BM64" s="47">
        <f t="shared" si="3"/>
        <v>40</v>
      </c>
      <c r="BN64" s="46">
        <f>IFERROR(VLOOKUP('Summary Table for Print'!AK64,'Scoring and Weighting'!$C$35:$F$39,4,1),30)</f>
        <v>30</v>
      </c>
      <c r="BO64" s="46">
        <f t="shared" si="6"/>
        <v>20</v>
      </c>
      <c r="BP64" s="47">
        <f>IFERROR(VLOOKUP(AN64,'Scoring and Weighting'!$B$63:$C$65,2,FALSE),1)</f>
        <v>1</v>
      </c>
      <c r="BQ64" s="49">
        <f>BK64*'Scoring and Weighting'!$C$55*'Summary Table for Print'!BP64</f>
        <v>17.5</v>
      </c>
      <c r="BR64" s="49">
        <f>BL64*BP64*'Scoring and Weighting'!$C$56</f>
        <v>7.5</v>
      </c>
      <c r="BS64" s="49">
        <f>BP64*BM64*'Scoring and Weighting'!$C$57</f>
        <v>10</v>
      </c>
      <c r="BT64" s="49">
        <f>BP64*BN64*'Scoring and Weighting'!$C$58</f>
        <v>3</v>
      </c>
      <c r="BU64" s="49">
        <f>BP64*BO64*'Scoring and Weighting'!$C$59</f>
        <v>3</v>
      </c>
      <c r="BV64" s="50">
        <f t="shared" si="4"/>
        <v>41</v>
      </c>
    </row>
    <row r="65" spans="1:74" x14ac:dyDescent="0.25">
      <c r="A65" s="41" t="s">
        <v>150</v>
      </c>
      <c r="B65" s="41"/>
      <c r="C65" s="41">
        <v>36</v>
      </c>
      <c r="D65" s="41"/>
      <c r="E65" s="41"/>
      <c r="F65" s="41">
        <v>12155</v>
      </c>
      <c r="G65" s="41" t="s">
        <v>82</v>
      </c>
      <c r="H65" s="41">
        <v>1</v>
      </c>
      <c r="I65" s="41">
        <v>0</v>
      </c>
      <c r="J65" s="41" t="str">
        <f>VLOOKUP(A65,'Table with Jurisdictions'!$A$4:$Q$129,17,0)</f>
        <v>Lake Forest</v>
      </c>
      <c r="K65" s="41" t="s">
        <v>50</v>
      </c>
      <c r="L65" s="41"/>
      <c r="M65" s="41" t="s">
        <v>51</v>
      </c>
      <c r="N65" s="41">
        <v>8176.1841665931097</v>
      </c>
      <c r="O65" s="41">
        <v>2777293.59180986</v>
      </c>
      <c r="P65" s="42">
        <v>34.446819727058802</v>
      </c>
      <c r="Q65" s="41">
        <v>50</v>
      </c>
      <c r="R65" s="41">
        <v>50</v>
      </c>
      <c r="S65" s="41">
        <v>0</v>
      </c>
      <c r="T65" s="41">
        <v>0</v>
      </c>
      <c r="U65" s="41">
        <v>0</v>
      </c>
      <c r="V65" s="41">
        <v>0</v>
      </c>
      <c r="W65" s="41">
        <v>0</v>
      </c>
      <c r="X65" s="41">
        <v>0</v>
      </c>
      <c r="Y65" s="41">
        <v>98</v>
      </c>
      <c r="Z65" s="41">
        <v>2</v>
      </c>
      <c r="AA65" s="41">
        <v>0</v>
      </c>
      <c r="AB65" s="41">
        <v>0</v>
      </c>
      <c r="AC65" s="41">
        <v>0</v>
      </c>
      <c r="AD65" s="41">
        <v>0</v>
      </c>
      <c r="AE65" s="41">
        <v>1</v>
      </c>
      <c r="AF65" s="41">
        <v>0.3</v>
      </c>
      <c r="AG65" s="41">
        <v>5.0000000000000001E-3</v>
      </c>
      <c r="AH65" s="41">
        <v>0.02</v>
      </c>
      <c r="AI65" s="41">
        <v>2.55E-5</v>
      </c>
      <c r="AJ65" s="41">
        <v>2.55E-5</v>
      </c>
      <c r="AK65" s="53">
        <f t="shared" si="5"/>
        <v>17.223409863529401</v>
      </c>
      <c r="AL65" s="43">
        <v>2.55E-5</v>
      </c>
      <c r="AM65" s="43">
        <f>IF(ISBLANK(AT65),AL65*'ratio of flow'!$D$1,AT65)</f>
        <v>1.2588478266188672E-5</v>
      </c>
      <c r="AN65" s="44"/>
      <c r="AO65" s="44"/>
      <c r="AP65" s="44"/>
      <c r="AQ65" s="44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1"/>
      <c r="BD65" s="41"/>
      <c r="BE65" s="41"/>
      <c r="BF65" s="41"/>
      <c r="BG65" s="41"/>
      <c r="BH65" s="41"/>
      <c r="BI65" s="41"/>
      <c r="BJ65" s="41"/>
      <c r="BK65" s="46">
        <f>IFERROR(VLOOKUP(AQ65,'Scoring and Weighting'!$B$10:$C$12,2,FALSE),'Scoring and Weighting'!$C$13)</f>
        <v>70</v>
      </c>
      <c r="BL65" s="46">
        <f>VLOOKUP(AM65,'Scoring and Weighting'!$C$19:$F$23,4)</f>
        <v>30</v>
      </c>
      <c r="BM65" s="47">
        <f t="shared" si="3"/>
        <v>40</v>
      </c>
      <c r="BN65" s="46">
        <f>IFERROR(VLOOKUP('Summary Table for Print'!AK65,'Scoring and Weighting'!$C$35:$F$39,4,1),30)</f>
        <v>30</v>
      </c>
      <c r="BO65" s="46">
        <f t="shared" si="6"/>
        <v>20</v>
      </c>
      <c r="BP65" s="47">
        <f>IFERROR(VLOOKUP(AN65,'Scoring and Weighting'!$B$63:$C$65,2,FALSE),1)</f>
        <v>1</v>
      </c>
      <c r="BQ65" s="49">
        <f>BK65*'Scoring and Weighting'!$C$55*'Summary Table for Print'!BP65</f>
        <v>17.5</v>
      </c>
      <c r="BR65" s="49">
        <f>BL65*BP65*'Scoring and Weighting'!$C$56</f>
        <v>7.5</v>
      </c>
      <c r="BS65" s="49">
        <f>BP65*BM65*'Scoring and Weighting'!$C$57</f>
        <v>10</v>
      </c>
      <c r="BT65" s="49">
        <f>BP65*BN65*'Scoring and Weighting'!$C$58</f>
        <v>3</v>
      </c>
      <c r="BU65" s="49">
        <f>BP65*BO65*'Scoring and Weighting'!$C$59</f>
        <v>3</v>
      </c>
      <c r="BV65" s="50">
        <f t="shared" si="4"/>
        <v>41</v>
      </c>
    </row>
    <row r="66" spans="1:74" x14ac:dyDescent="0.25">
      <c r="A66" s="41" t="s">
        <v>165</v>
      </c>
      <c r="B66" s="41"/>
      <c r="C66" s="41">
        <v>39</v>
      </c>
      <c r="D66" s="41"/>
      <c r="E66" s="41"/>
      <c r="F66" s="41">
        <v>12036</v>
      </c>
      <c r="G66" s="41" t="s">
        <v>82</v>
      </c>
      <c r="H66" s="41">
        <v>1</v>
      </c>
      <c r="I66" s="41">
        <v>0</v>
      </c>
      <c r="J66" s="41" t="str">
        <f>VLOOKUP(A66,'Table with Jurisdictions'!$A$4:$Q$129,17,0)</f>
        <v>Lake Forest</v>
      </c>
      <c r="K66" s="41" t="s">
        <v>50</v>
      </c>
      <c r="L66" s="41"/>
      <c r="M66" s="41" t="s">
        <v>51</v>
      </c>
      <c r="N66" s="41">
        <v>12973.430842088799</v>
      </c>
      <c r="O66" s="41">
        <v>6002780.9678765796</v>
      </c>
      <c r="P66" s="42">
        <v>21.256574619549902</v>
      </c>
      <c r="Q66" s="41">
        <v>100</v>
      </c>
      <c r="R66" s="41">
        <v>100</v>
      </c>
      <c r="S66" s="41">
        <v>0</v>
      </c>
      <c r="T66" s="41">
        <v>0</v>
      </c>
      <c r="U66" s="41">
        <v>0</v>
      </c>
      <c r="V66" s="41">
        <v>0</v>
      </c>
      <c r="W66" s="41">
        <v>0</v>
      </c>
      <c r="X66" s="41">
        <v>0</v>
      </c>
      <c r="Y66" s="41">
        <v>100</v>
      </c>
      <c r="Z66" s="41">
        <v>0</v>
      </c>
      <c r="AA66" s="41">
        <v>0</v>
      </c>
      <c r="AB66" s="41">
        <v>0</v>
      </c>
      <c r="AC66" s="41">
        <v>0</v>
      </c>
      <c r="AD66" s="41">
        <v>0</v>
      </c>
      <c r="AE66" s="41">
        <v>1</v>
      </c>
      <c r="AF66" s="41">
        <v>1</v>
      </c>
      <c r="AG66" s="41">
        <v>0.02</v>
      </c>
      <c r="AH66" s="41">
        <v>0.05</v>
      </c>
      <c r="AI66" s="41">
        <v>8.4999999999999995E-4</v>
      </c>
      <c r="AJ66" s="41">
        <v>8.4999999999999995E-4</v>
      </c>
      <c r="AK66" s="53">
        <f t="shared" si="5"/>
        <v>21.256574619549902</v>
      </c>
      <c r="AL66" s="43">
        <v>8.4999999999999995E-4</v>
      </c>
      <c r="AM66" s="43">
        <f>IF(ISBLANK(AT66),AL66*'ratio of flow'!$D$1,AT66)</f>
        <v>4.1961594220628904E-4</v>
      </c>
      <c r="AN66" s="44"/>
      <c r="AO66" s="44"/>
      <c r="AP66" s="44"/>
      <c r="AQ66" s="44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1"/>
      <c r="BD66" s="41"/>
      <c r="BE66" s="41"/>
      <c r="BF66" s="41"/>
      <c r="BG66" s="41"/>
      <c r="BH66" s="41"/>
      <c r="BI66" s="41"/>
      <c r="BJ66" s="41"/>
      <c r="BK66" s="46">
        <f>IFERROR(VLOOKUP(AQ66,'Scoring and Weighting'!$B$10:$C$12,2,FALSE),'Scoring and Weighting'!$C$13)</f>
        <v>70</v>
      </c>
      <c r="BL66" s="46">
        <f>VLOOKUP(AM66,'Scoring and Weighting'!$C$19:$F$23,4)</f>
        <v>30</v>
      </c>
      <c r="BM66" s="47">
        <f t="shared" si="3"/>
        <v>40</v>
      </c>
      <c r="BN66" s="46">
        <f>IFERROR(VLOOKUP('Summary Table for Print'!AK66,'Scoring and Weighting'!$C$35:$F$39,4,1),30)</f>
        <v>30</v>
      </c>
      <c r="BO66" s="46">
        <f t="shared" si="6"/>
        <v>20</v>
      </c>
      <c r="BP66" s="47">
        <f>IFERROR(VLOOKUP(AN66,'Scoring and Weighting'!$B$63:$C$65,2,FALSE),1)</f>
        <v>1</v>
      </c>
      <c r="BQ66" s="49">
        <f>BK66*'Scoring and Weighting'!$C$55*'Summary Table for Print'!BP66</f>
        <v>17.5</v>
      </c>
      <c r="BR66" s="49">
        <f>BL66*BP66*'Scoring and Weighting'!$C$56</f>
        <v>7.5</v>
      </c>
      <c r="BS66" s="49">
        <f>BP66*BM66*'Scoring and Weighting'!$C$57</f>
        <v>10</v>
      </c>
      <c r="BT66" s="49">
        <f>BP66*BN66*'Scoring and Weighting'!$C$58</f>
        <v>3</v>
      </c>
      <c r="BU66" s="49">
        <f>BP66*BO66*'Scoring and Weighting'!$C$59</f>
        <v>3</v>
      </c>
      <c r="BV66" s="50">
        <f t="shared" si="4"/>
        <v>41</v>
      </c>
    </row>
    <row r="67" spans="1:74" x14ac:dyDescent="0.25">
      <c r="A67" s="41" t="s">
        <v>140</v>
      </c>
      <c r="B67" s="41"/>
      <c r="C67" s="41">
        <v>42</v>
      </c>
      <c r="D67" s="41"/>
      <c r="E67" s="41"/>
      <c r="F67" s="41">
        <v>12036</v>
      </c>
      <c r="G67" s="41" t="s">
        <v>82</v>
      </c>
      <c r="H67" s="41">
        <v>1</v>
      </c>
      <c r="I67" s="41">
        <v>0</v>
      </c>
      <c r="J67" s="41" t="str">
        <f>VLOOKUP(A67,'Table with Jurisdictions'!$A$4:$Q$129,17,0)</f>
        <v>Aliso Viejo</v>
      </c>
      <c r="K67" s="41" t="s">
        <v>50</v>
      </c>
      <c r="L67" s="41"/>
      <c r="M67" s="41" t="s">
        <v>51</v>
      </c>
      <c r="N67" s="41">
        <v>6831.0000486383196</v>
      </c>
      <c r="O67" s="41">
        <v>1222998.1249955599</v>
      </c>
      <c r="P67" s="42">
        <v>553.84107572984499</v>
      </c>
      <c r="Q67" s="41">
        <v>83</v>
      </c>
      <c r="R67" s="41">
        <v>45</v>
      </c>
      <c r="S67" s="41">
        <v>100</v>
      </c>
      <c r="T67" s="41">
        <v>0</v>
      </c>
      <c r="U67" s="41">
        <v>0</v>
      </c>
      <c r="V67" s="41">
        <v>0</v>
      </c>
      <c r="W67" s="41">
        <v>0</v>
      </c>
      <c r="X67" s="41">
        <v>0</v>
      </c>
      <c r="Y67" s="41">
        <v>0</v>
      </c>
      <c r="Z67" s="41">
        <v>0</v>
      </c>
      <c r="AA67" s="41">
        <v>0</v>
      </c>
      <c r="AB67" s="41">
        <v>0</v>
      </c>
      <c r="AC67" s="41">
        <v>0</v>
      </c>
      <c r="AD67" s="41">
        <v>0</v>
      </c>
      <c r="AE67" s="41">
        <v>3</v>
      </c>
      <c r="AF67" s="41">
        <v>1.55</v>
      </c>
      <c r="AG67" s="41">
        <v>7.3333333333333001E-2</v>
      </c>
      <c r="AH67" s="41">
        <v>1.05</v>
      </c>
      <c r="AI67" s="41">
        <v>6.3750000000000001E-2</v>
      </c>
      <c r="AJ67" s="41">
        <v>0.11475</v>
      </c>
      <c r="AK67" s="53">
        <f t="shared" ref="AK67:AK98" si="7">P67*Q67/100</f>
        <v>459.68809285577134</v>
      </c>
      <c r="AL67" s="43">
        <v>9.758E-2</v>
      </c>
      <c r="AM67" s="43">
        <f>IF(ISBLANK(AT67),AL67*'ratio of flow'!$D$1,AT67)</f>
        <v>4.8171910165281981E-2</v>
      </c>
      <c r="AN67" s="44"/>
      <c r="AO67" s="44"/>
      <c r="AP67" s="44"/>
      <c r="AQ67" s="44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1"/>
      <c r="BD67" s="41"/>
      <c r="BE67" s="41"/>
      <c r="BF67" s="41"/>
      <c r="BG67" s="41"/>
      <c r="BH67" s="41"/>
      <c r="BI67" s="41"/>
      <c r="BJ67" s="41"/>
      <c r="BK67" s="46">
        <f>IFERROR(VLOOKUP(AQ67,'Scoring and Weighting'!$B$10:$C$12,2,FALSE),'Scoring and Weighting'!$C$13)</f>
        <v>70</v>
      </c>
      <c r="BL67" s="46">
        <f>VLOOKUP(AM67,'Scoring and Weighting'!$C$19:$F$23,4)</f>
        <v>50</v>
      </c>
      <c r="BM67" s="47">
        <f t="shared" si="3"/>
        <v>40</v>
      </c>
      <c r="BN67" s="46">
        <f>IFERROR(VLOOKUP('Summary Table for Print'!AK67,'Scoring and Weighting'!$C$35:$F$39,4,1),30)</f>
        <v>90</v>
      </c>
      <c r="BO67" s="46">
        <f t="shared" ref="BO67:BO98" si="8">IF(AND(AE67&gt;1,AT67&gt;0,ISTEXT(AN67)),100,IF(AND(AT67&gt;0,ISTEXT(AN67)),80,IF(AND(AE67&gt;1,ISTEXT(AN67)),60,IF(AE67&gt;1,40,20))))</f>
        <v>40</v>
      </c>
      <c r="BP67" s="47">
        <f>IFERROR(VLOOKUP(AN67,'Scoring and Weighting'!$B$63:$C$65,2,FALSE),1)</f>
        <v>1</v>
      </c>
      <c r="BQ67" s="49">
        <f>BK67*'Scoring and Weighting'!$C$55*'Summary Table for Print'!BP67</f>
        <v>17.5</v>
      </c>
      <c r="BR67" s="49">
        <f>BL67*BP67*'Scoring and Weighting'!$C$56</f>
        <v>12.5</v>
      </c>
      <c r="BS67" s="49">
        <f>BP67*BM67*'Scoring and Weighting'!$C$57</f>
        <v>10</v>
      </c>
      <c r="BT67" s="49">
        <f>BP67*BN67*'Scoring and Weighting'!$C$58</f>
        <v>9</v>
      </c>
      <c r="BU67" s="49">
        <f>BP67*BO67*'Scoring and Weighting'!$C$59</f>
        <v>6</v>
      </c>
      <c r="BV67" s="50">
        <f t="shared" si="4"/>
        <v>55</v>
      </c>
    </row>
    <row r="68" spans="1:74" x14ac:dyDescent="0.25">
      <c r="A68" s="41" t="s">
        <v>168</v>
      </c>
      <c r="B68" s="41" t="s">
        <v>199</v>
      </c>
      <c r="C68" s="41">
        <v>48</v>
      </c>
      <c r="D68" s="41"/>
      <c r="E68" s="41"/>
      <c r="F68" s="41">
        <v>12032</v>
      </c>
      <c r="G68" s="41" t="s">
        <v>82</v>
      </c>
      <c r="H68" s="41">
        <v>1</v>
      </c>
      <c r="I68" s="41">
        <v>0</v>
      </c>
      <c r="J68" s="41" t="str">
        <f>VLOOKUP(A68,'Table with Jurisdictions'!$A$4:$Q$129,17,0)</f>
        <v>Laguna Niguel</v>
      </c>
      <c r="K68" s="41" t="s">
        <v>50</v>
      </c>
      <c r="L68" s="41"/>
      <c r="M68" s="41" t="s">
        <v>51</v>
      </c>
      <c r="N68" s="41">
        <v>15117.294468751101</v>
      </c>
      <c r="O68" s="41">
        <v>5525448.9897399396</v>
      </c>
      <c r="P68" s="42">
        <v>92.343543032331098</v>
      </c>
      <c r="Q68" s="41">
        <v>91</v>
      </c>
      <c r="R68" s="41">
        <v>73</v>
      </c>
      <c r="S68" s="41">
        <v>0</v>
      </c>
      <c r="T68" s="41">
        <v>0</v>
      </c>
      <c r="U68" s="41">
        <v>0</v>
      </c>
      <c r="V68" s="41">
        <v>0</v>
      </c>
      <c r="W68" s="41">
        <v>99</v>
      </c>
      <c r="X68" s="41">
        <v>0</v>
      </c>
      <c r="Y68" s="41">
        <v>0</v>
      </c>
      <c r="Z68" s="41">
        <v>0</v>
      </c>
      <c r="AA68" s="41">
        <v>0</v>
      </c>
      <c r="AB68" s="41">
        <v>0</v>
      </c>
      <c r="AC68" s="41">
        <v>0</v>
      </c>
      <c r="AD68" s="41">
        <v>1</v>
      </c>
      <c r="AE68" s="41">
        <v>2</v>
      </c>
      <c r="AF68" s="41">
        <v>0.3</v>
      </c>
      <c r="AG68" s="41">
        <v>8.5000000000000006E-3</v>
      </c>
      <c r="AH68" s="41">
        <v>1.1000000000000001</v>
      </c>
      <c r="AI68" s="41">
        <v>1.7849999999999999E-3</v>
      </c>
      <c r="AJ68" s="41">
        <v>3.0599999999999998E-3</v>
      </c>
      <c r="AK68" s="53">
        <f t="shared" si="7"/>
        <v>84.032624159421303</v>
      </c>
      <c r="AL68" s="43">
        <v>2.4225000000000002E-3</v>
      </c>
      <c r="AM68" s="43">
        <f>IF(ISBLANK(AT68),AL68*'ratio of flow'!$D$1,AT68)</f>
        <v>1.1959054352879239E-3</v>
      </c>
      <c r="AN68" s="44" t="s">
        <v>52</v>
      </c>
      <c r="AO68" s="44" t="s">
        <v>53</v>
      </c>
      <c r="AP68" s="44" t="s">
        <v>53</v>
      </c>
      <c r="AQ68" s="44" t="s">
        <v>114</v>
      </c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1"/>
      <c r="BD68" s="41"/>
      <c r="BE68" s="41"/>
      <c r="BF68" s="41"/>
      <c r="BG68" s="41"/>
      <c r="BH68" s="41"/>
      <c r="BI68" s="41"/>
      <c r="BJ68" s="41"/>
      <c r="BK68" s="46">
        <f>IFERROR(VLOOKUP(AQ68,'Scoring and Weighting'!$B$10:$C$12,2,FALSE),'Scoring and Weighting'!$C$13)</f>
        <v>60</v>
      </c>
      <c r="BL68" s="46">
        <f>VLOOKUP(AM68,'Scoring and Weighting'!$C$19:$F$23,4)</f>
        <v>30</v>
      </c>
      <c r="BM68" s="47">
        <f t="shared" ref="BM68:BM121" si="9">IF(ISBLANK(BB68),40,BB68*100)</f>
        <v>40</v>
      </c>
      <c r="BN68" s="46">
        <f>IFERROR(VLOOKUP('Summary Table for Print'!AK68,'Scoring and Weighting'!$C$35:$F$39,4,1),30)</f>
        <v>30</v>
      </c>
      <c r="BO68" s="46">
        <f t="shared" si="8"/>
        <v>60</v>
      </c>
      <c r="BP68" s="47">
        <f>IFERROR(VLOOKUP(AN68,'Scoring and Weighting'!$B$63:$C$65,2,FALSE),1)</f>
        <v>1</v>
      </c>
      <c r="BQ68" s="49">
        <f>BK68*'Scoring and Weighting'!$C$55*'Summary Table for Print'!BP68</f>
        <v>15</v>
      </c>
      <c r="BR68" s="49">
        <f>BL68*BP68*'Scoring and Weighting'!$C$56</f>
        <v>7.5</v>
      </c>
      <c r="BS68" s="49">
        <f>BP68*BM68*'Scoring and Weighting'!$C$57</f>
        <v>10</v>
      </c>
      <c r="BT68" s="49">
        <f>BP68*BN68*'Scoring and Weighting'!$C$58</f>
        <v>3</v>
      </c>
      <c r="BU68" s="49">
        <f>BP68*BO68*'Scoring and Weighting'!$C$59</f>
        <v>9</v>
      </c>
      <c r="BV68" s="50">
        <f t="shared" ref="BV68:BV121" si="10">SUM(BQ68:BU68)</f>
        <v>44.5</v>
      </c>
    </row>
    <row r="69" spans="1:74" x14ac:dyDescent="0.25">
      <c r="A69" s="41" t="s">
        <v>171</v>
      </c>
      <c r="B69" s="41"/>
      <c r="C69" s="41">
        <v>192</v>
      </c>
      <c r="D69" s="41"/>
      <c r="E69" s="41"/>
      <c r="F69" s="41">
        <v>12156</v>
      </c>
      <c r="G69" s="41" t="s">
        <v>82</v>
      </c>
      <c r="H69" s="41">
        <v>1</v>
      </c>
      <c r="I69" s="41">
        <v>2</v>
      </c>
      <c r="J69" s="41" t="str">
        <f>VLOOKUP(A69,'Table with Jurisdictions'!$A$4:$Q$129,17,0)</f>
        <v>Laguna Niguel</v>
      </c>
      <c r="K69" s="41" t="s">
        <v>50</v>
      </c>
      <c r="L69" s="41"/>
      <c r="M69" s="41" t="s">
        <v>51</v>
      </c>
      <c r="N69" s="41">
        <v>38968.786771960898</v>
      </c>
      <c r="O69" s="41">
        <v>60942158.232183099</v>
      </c>
      <c r="P69" s="42">
        <v>34.231223048920299</v>
      </c>
      <c r="Q69" s="41">
        <v>90</v>
      </c>
      <c r="R69" s="41">
        <v>90</v>
      </c>
      <c r="S69" s="41">
        <v>0</v>
      </c>
      <c r="T69" s="41">
        <v>0</v>
      </c>
      <c r="U69" s="41">
        <v>0</v>
      </c>
      <c r="V69" s="41">
        <v>0</v>
      </c>
      <c r="W69" s="41">
        <v>100</v>
      </c>
      <c r="X69" s="41">
        <v>0</v>
      </c>
      <c r="Y69" s="41">
        <v>0</v>
      </c>
      <c r="Z69" s="41">
        <v>0</v>
      </c>
      <c r="AA69" s="41">
        <v>0</v>
      </c>
      <c r="AB69" s="41">
        <v>0</v>
      </c>
      <c r="AC69" s="41">
        <v>0</v>
      </c>
      <c r="AD69" s="41">
        <v>0</v>
      </c>
      <c r="AE69" s="41">
        <v>2</v>
      </c>
      <c r="AF69" s="41">
        <v>0.215</v>
      </c>
      <c r="AG69" s="41">
        <v>1.4999999999999999E-2</v>
      </c>
      <c r="AH69" s="41">
        <v>1.1666666666666601</v>
      </c>
      <c r="AI69" s="41">
        <v>1.813333333333E-3</v>
      </c>
      <c r="AJ69" s="41">
        <v>2.9750000000000002E-3</v>
      </c>
      <c r="AK69" s="53">
        <f t="shared" si="7"/>
        <v>30.80810074402827</v>
      </c>
      <c r="AL69" s="43">
        <v>2.3941666666669999E-3</v>
      </c>
      <c r="AM69" s="43">
        <f>IF(ISBLANK(AT69),AL69*'ratio of flow'!$D$1,AT69)</f>
        <v>1.1819182372145454E-3</v>
      </c>
      <c r="AN69" s="44" t="s">
        <v>52</v>
      </c>
      <c r="AO69" s="44" t="s">
        <v>53</v>
      </c>
      <c r="AP69" s="44" t="s">
        <v>53</v>
      </c>
      <c r="AQ69" s="44" t="s">
        <v>114</v>
      </c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1"/>
      <c r="BD69" s="41"/>
      <c r="BE69" s="41"/>
      <c r="BF69" s="41"/>
      <c r="BG69" s="41"/>
      <c r="BH69" s="41"/>
      <c r="BI69" s="41"/>
      <c r="BJ69" s="41"/>
      <c r="BK69" s="46">
        <f>IFERROR(VLOOKUP(AQ69,'Scoring and Weighting'!$B$10:$C$12,2,FALSE),'Scoring and Weighting'!$C$13)</f>
        <v>60</v>
      </c>
      <c r="BL69" s="46">
        <f>VLOOKUP(AM69,'Scoring and Weighting'!$C$19:$F$23,4)</f>
        <v>30</v>
      </c>
      <c r="BM69" s="47">
        <f t="shared" si="9"/>
        <v>40</v>
      </c>
      <c r="BN69" s="46">
        <f>IFERROR(VLOOKUP('Summary Table for Print'!AK69,'Scoring and Weighting'!$C$35:$F$39,4,1),30)</f>
        <v>30</v>
      </c>
      <c r="BO69" s="46">
        <f t="shared" si="8"/>
        <v>60</v>
      </c>
      <c r="BP69" s="47">
        <f>IFERROR(VLOOKUP(AN69,'Scoring and Weighting'!$B$63:$C$65,2,FALSE),1)</f>
        <v>1</v>
      </c>
      <c r="BQ69" s="49">
        <f>BK69*'Scoring and Weighting'!$C$55*'Summary Table for Print'!BP69</f>
        <v>15</v>
      </c>
      <c r="BR69" s="49">
        <f>BL69*BP69*'Scoring and Weighting'!$C$56</f>
        <v>7.5</v>
      </c>
      <c r="BS69" s="49">
        <f>BP69*BM69*'Scoring and Weighting'!$C$57</f>
        <v>10</v>
      </c>
      <c r="BT69" s="49">
        <f>BP69*BN69*'Scoring and Weighting'!$C$58</f>
        <v>3</v>
      </c>
      <c r="BU69" s="49">
        <f>BP69*BO69*'Scoring and Weighting'!$C$59</f>
        <v>9</v>
      </c>
      <c r="BV69" s="50">
        <f t="shared" si="10"/>
        <v>44.5</v>
      </c>
    </row>
    <row r="70" spans="1:74" x14ac:dyDescent="0.25">
      <c r="A70" s="41" t="s">
        <v>257</v>
      </c>
      <c r="B70" s="41" t="s">
        <v>202</v>
      </c>
      <c r="C70" s="41">
        <v>42</v>
      </c>
      <c r="D70" s="41"/>
      <c r="E70" s="41"/>
      <c r="F70" s="41">
        <v>12138</v>
      </c>
      <c r="G70" s="41" t="s">
        <v>82</v>
      </c>
      <c r="H70" s="41">
        <v>1</v>
      </c>
      <c r="I70" s="41">
        <v>0</v>
      </c>
      <c r="J70" s="41" t="s">
        <v>527</v>
      </c>
      <c r="K70" s="41" t="s">
        <v>50</v>
      </c>
      <c r="L70" s="41"/>
      <c r="M70" s="41" t="s">
        <v>51</v>
      </c>
      <c r="N70" s="41">
        <v>12361.4369690968</v>
      </c>
      <c r="O70" s="41">
        <v>3956637.4918455398</v>
      </c>
      <c r="P70" s="42" t="s">
        <v>527</v>
      </c>
      <c r="Q70" s="41" t="s">
        <v>527</v>
      </c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>
        <v>1</v>
      </c>
      <c r="AF70" s="41">
        <v>0.3</v>
      </c>
      <c r="AG70" s="41">
        <v>0.05</v>
      </c>
      <c r="AH70" s="41">
        <v>0.15</v>
      </c>
      <c r="AI70" s="41">
        <v>1.9124999999999999E-3</v>
      </c>
      <c r="AJ70" s="41">
        <v>1.9124999999999999E-3</v>
      </c>
      <c r="AK70" s="53" t="e">
        <f t="shared" si="7"/>
        <v>#VALUE!</v>
      </c>
      <c r="AL70" s="43">
        <v>1.9124999999999999E-3</v>
      </c>
      <c r="AM70" s="43">
        <f>IF(ISBLANK(AT70),AL70*'ratio of flow'!$D$1,AT70)</f>
        <v>9.4413586996415033E-4</v>
      </c>
      <c r="AN70" s="44"/>
      <c r="AO70" s="44"/>
      <c r="AP70" s="44"/>
      <c r="AQ70" s="44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1"/>
      <c r="BD70" s="41"/>
      <c r="BE70" s="41"/>
      <c r="BF70" s="41"/>
      <c r="BG70" s="41"/>
      <c r="BH70" s="41"/>
      <c r="BI70" s="41"/>
      <c r="BJ70" s="41"/>
      <c r="BK70" s="46">
        <f>IFERROR(VLOOKUP(AQ70,'Scoring and Weighting'!$B$10:$C$12,2,FALSE),'Scoring and Weighting'!$C$13)</f>
        <v>70</v>
      </c>
      <c r="BL70" s="46">
        <f>VLOOKUP(AM70,'Scoring and Weighting'!$C$19:$F$23,4)</f>
        <v>30</v>
      </c>
      <c r="BM70" s="47">
        <f t="shared" si="9"/>
        <v>40</v>
      </c>
      <c r="BN70" s="46">
        <f>IFERROR(VLOOKUP('Summary Table for Print'!AK70,'Scoring and Weighting'!$C$35:$F$39,4,1),30)</f>
        <v>30</v>
      </c>
      <c r="BO70" s="46">
        <f t="shared" si="8"/>
        <v>20</v>
      </c>
      <c r="BP70" s="47">
        <f>IFERROR(VLOOKUP(AN70,'Scoring and Weighting'!$B$63:$C$65,2,FALSE),1)</f>
        <v>1</v>
      </c>
      <c r="BQ70" s="49">
        <f>BK70*'Scoring and Weighting'!$C$55*'Summary Table for Print'!BP70</f>
        <v>17.5</v>
      </c>
      <c r="BR70" s="49">
        <f>BL70*BP70*'Scoring and Weighting'!$C$56</f>
        <v>7.5</v>
      </c>
      <c r="BS70" s="49">
        <f>BP70*BM70*'Scoring and Weighting'!$C$57</f>
        <v>10</v>
      </c>
      <c r="BT70" s="49">
        <f>BP70*BN70*'Scoring and Weighting'!$C$58</f>
        <v>3</v>
      </c>
      <c r="BU70" s="49">
        <f>BP70*BO70*'Scoring and Weighting'!$C$59</f>
        <v>3</v>
      </c>
      <c r="BV70" s="50">
        <f t="shared" si="10"/>
        <v>41</v>
      </c>
    </row>
    <row r="71" spans="1:74" x14ac:dyDescent="0.25">
      <c r="A71" s="41" t="s">
        <v>233</v>
      </c>
      <c r="B71" s="41" t="s">
        <v>204</v>
      </c>
      <c r="C71" s="41">
        <v>66</v>
      </c>
      <c r="D71" s="41"/>
      <c r="E71" s="41"/>
      <c r="F71" s="41">
        <v>12094</v>
      </c>
      <c r="G71" s="41" t="s">
        <v>205</v>
      </c>
      <c r="H71" s="41">
        <v>1</v>
      </c>
      <c r="I71" s="41">
        <v>0</v>
      </c>
      <c r="J71" s="41" t="str">
        <f>VLOOKUP(A71,'Table with Jurisdictions'!$A$4:$Q$129,17,0)</f>
        <v>Mission Viejo</v>
      </c>
      <c r="K71" s="41" t="s">
        <v>50</v>
      </c>
      <c r="L71" s="41"/>
      <c r="M71" s="41" t="s">
        <v>51</v>
      </c>
      <c r="N71" s="41">
        <v>13401.232118039899</v>
      </c>
      <c r="O71" s="41">
        <v>5684515.4946329501</v>
      </c>
      <c r="P71" s="42">
        <v>204.59498221430701</v>
      </c>
      <c r="Q71" s="41">
        <v>60</v>
      </c>
      <c r="R71" s="41">
        <v>59</v>
      </c>
      <c r="S71" s="41">
        <v>0</v>
      </c>
      <c r="T71" s="41">
        <v>0</v>
      </c>
      <c r="U71" s="41">
        <v>0</v>
      </c>
      <c r="V71" s="41">
        <v>0</v>
      </c>
      <c r="W71" s="41">
        <v>0</v>
      </c>
      <c r="X71" s="41">
        <v>0</v>
      </c>
      <c r="Y71" s="41">
        <v>2</v>
      </c>
      <c r="Z71" s="41">
        <v>98</v>
      </c>
      <c r="AA71" s="41">
        <v>0</v>
      </c>
      <c r="AB71" s="41">
        <v>0</v>
      </c>
      <c r="AC71" s="41">
        <v>0</v>
      </c>
      <c r="AD71" s="41">
        <v>0</v>
      </c>
      <c r="AE71" s="41">
        <v>2</v>
      </c>
      <c r="AF71" s="41">
        <v>0.65</v>
      </c>
      <c r="AG71" s="41">
        <v>0.26</v>
      </c>
      <c r="AH71" s="41">
        <v>0.42499999999999999</v>
      </c>
      <c r="AI71" s="41">
        <v>2.5500000000000002E-3</v>
      </c>
      <c r="AJ71" s="41">
        <v>0.17849999999999999</v>
      </c>
      <c r="AK71" s="53">
        <f t="shared" si="7"/>
        <v>122.75698932858421</v>
      </c>
      <c r="AL71" s="43">
        <v>9.0524999999999994E-2</v>
      </c>
      <c r="AM71" s="43">
        <f>IF(ISBLANK(AT71),AL71*'ratio of flow'!$D$1,AT71)</f>
        <v>4.4689097844969786E-2</v>
      </c>
      <c r="AN71" s="44" t="s">
        <v>210</v>
      </c>
      <c r="AO71" s="44" t="s">
        <v>53</v>
      </c>
      <c r="AP71" s="44" t="s">
        <v>53</v>
      </c>
      <c r="AQ71" s="44" t="s">
        <v>114</v>
      </c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1"/>
      <c r="BD71" s="41"/>
      <c r="BE71" s="41"/>
      <c r="BF71" s="41"/>
      <c r="BG71" s="41"/>
      <c r="BH71" s="41"/>
      <c r="BI71" s="41"/>
      <c r="BJ71" s="41"/>
      <c r="BK71" s="46">
        <f>IFERROR(VLOOKUP(AQ71,'Scoring and Weighting'!$B$10:$C$12,2,FALSE),'Scoring and Weighting'!$C$13)</f>
        <v>60</v>
      </c>
      <c r="BL71" s="46">
        <f>VLOOKUP(AM71,'Scoring and Weighting'!$C$19:$F$23,4)</f>
        <v>50</v>
      </c>
      <c r="BM71" s="47">
        <f t="shared" si="9"/>
        <v>40</v>
      </c>
      <c r="BN71" s="46">
        <f>IFERROR(VLOOKUP('Summary Table for Print'!AK71,'Scoring and Weighting'!$C$35:$F$39,4,1),30)</f>
        <v>30</v>
      </c>
      <c r="BO71" s="46">
        <f t="shared" si="8"/>
        <v>60</v>
      </c>
      <c r="BP71" s="47">
        <f>IFERROR(VLOOKUP(AN71,'Scoring and Weighting'!$B$63:$C$65,2,FALSE),1)</f>
        <v>0</v>
      </c>
      <c r="BQ71" s="49">
        <f>BK71*'Scoring and Weighting'!$C$55*'Summary Table for Print'!BP71</f>
        <v>0</v>
      </c>
      <c r="BR71" s="49">
        <f>BL71*BP71*'Scoring and Weighting'!$C$56</f>
        <v>0</v>
      </c>
      <c r="BS71" s="49">
        <f>BP71*BM71*'Scoring and Weighting'!$C$57</f>
        <v>0</v>
      </c>
      <c r="BT71" s="49">
        <f>BP71*BN71*'Scoring and Weighting'!$C$58</f>
        <v>0</v>
      </c>
      <c r="BU71" s="49">
        <f>BP71*BO71*'Scoring and Weighting'!$C$59</f>
        <v>0</v>
      </c>
      <c r="BV71" s="50">
        <f t="shared" si="10"/>
        <v>0</v>
      </c>
    </row>
    <row r="72" spans="1:74" x14ac:dyDescent="0.25">
      <c r="A72" s="41" t="s">
        <v>230</v>
      </c>
      <c r="B72" s="41" t="s">
        <v>207</v>
      </c>
      <c r="C72" s="41">
        <v>11</v>
      </c>
      <c r="D72" s="41">
        <v>11.5</v>
      </c>
      <c r="E72" s="41"/>
      <c r="F72" s="41">
        <v>728</v>
      </c>
      <c r="G72" s="41" t="s">
        <v>95</v>
      </c>
      <c r="H72" s="41">
        <v>1</v>
      </c>
      <c r="I72" s="41">
        <v>1</v>
      </c>
      <c r="J72" s="41" t="str">
        <f>VLOOKUP(A72,'Table with Jurisdictions'!$A$4:$Q$129,17,0)</f>
        <v>Mission Viejo</v>
      </c>
      <c r="K72" s="41" t="s">
        <v>50</v>
      </c>
      <c r="L72" s="41"/>
      <c r="M72" s="41" t="s">
        <v>51</v>
      </c>
      <c r="N72" s="41">
        <v>39643.503664076903</v>
      </c>
      <c r="O72" s="41">
        <v>45297074.240426198</v>
      </c>
      <c r="P72" s="42">
        <v>102.118491846385</v>
      </c>
      <c r="Q72" s="41">
        <v>84</v>
      </c>
      <c r="R72" s="41">
        <v>84</v>
      </c>
      <c r="S72" s="41">
        <v>0</v>
      </c>
      <c r="T72" s="41">
        <v>0</v>
      </c>
      <c r="U72" s="41">
        <v>0</v>
      </c>
      <c r="V72" s="41">
        <v>0</v>
      </c>
      <c r="W72" s="41">
        <v>0</v>
      </c>
      <c r="X72" s="41">
        <v>0</v>
      </c>
      <c r="Y72" s="41">
        <v>0</v>
      </c>
      <c r="Z72" s="41">
        <v>100</v>
      </c>
      <c r="AA72" s="41">
        <v>0</v>
      </c>
      <c r="AB72" s="41">
        <v>0</v>
      </c>
      <c r="AC72" s="41">
        <v>0</v>
      </c>
      <c r="AD72" s="41">
        <v>0</v>
      </c>
      <c r="AE72" s="41">
        <v>1</v>
      </c>
      <c r="AF72" s="41">
        <v>0.3</v>
      </c>
      <c r="AG72" s="41">
        <v>5.0000000000000001E-3</v>
      </c>
      <c r="AH72" s="41">
        <v>0.22222222222222199</v>
      </c>
      <c r="AI72" s="41">
        <v>2.8333333333300002E-4</v>
      </c>
      <c r="AJ72" s="41">
        <v>2.8333333333300002E-4</v>
      </c>
      <c r="AK72" s="53">
        <f t="shared" si="7"/>
        <v>85.779533150963402</v>
      </c>
      <c r="AL72" s="43">
        <v>2.8333333333300002E-4</v>
      </c>
      <c r="AM72" s="43">
        <f>IF(ISBLANK(AT72),AL72*'ratio of flow'!$D$1,AT72)</f>
        <v>1.3987198073526515E-4</v>
      </c>
      <c r="AN72" s="44"/>
      <c r="AO72" s="44"/>
      <c r="AP72" s="44"/>
      <c r="AQ72" s="44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1"/>
      <c r="BD72" s="41"/>
      <c r="BE72" s="41"/>
      <c r="BF72" s="41"/>
      <c r="BG72" s="41"/>
      <c r="BH72" s="41"/>
      <c r="BI72" s="41"/>
      <c r="BJ72" s="41"/>
      <c r="BK72" s="46">
        <f>IFERROR(VLOOKUP(AQ72,'Scoring and Weighting'!$B$10:$C$12,2,FALSE),'Scoring and Weighting'!$C$13)</f>
        <v>70</v>
      </c>
      <c r="BL72" s="46">
        <f>VLOOKUP(AM72,'Scoring and Weighting'!$C$19:$F$23,4)</f>
        <v>30</v>
      </c>
      <c r="BM72" s="47">
        <f t="shared" si="9"/>
        <v>40</v>
      </c>
      <c r="BN72" s="46">
        <f>IFERROR(VLOOKUP('Summary Table for Print'!AK72,'Scoring and Weighting'!$C$35:$F$39,4,1),30)</f>
        <v>30</v>
      </c>
      <c r="BO72" s="46">
        <f t="shared" si="8"/>
        <v>20</v>
      </c>
      <c r="BP72" s="47">
        <f>IFERROR(VLOOKUP(AN72,'Scoring and Weighting'!$B$63:$C$65,2,FALSE),1)</f>
        <v>1</v>
      </c>
      <c r="BQ72" s="49">
        <f>BK72*'Scoring and Weighting'!$C$55*'Summary Table for Print'!BP72</f>
        <v>17.5</v>
      </c>
      <c r="BR72" s="49">
        <f>BL72*BP72*'Scoring and Weighting'!$C$56</f>
        <v>7.5</v>
      </c>
      <c r="BS72" s="49">
        <f>BP72*BM72*'Scoring and Weighting'!$C$57</f>
        <v>10</v>
      </c>
      <c r="BT72" s="49">
        <f>BP72*BN72*'Scoring and Weighting'!$C$58</f>
        <v>3</v>
      </c>
      <c r="BU72" s="49">
        <f>BP72*BO72*'Scoring and Weighting'!$C$59</f>
        <v>3</v>
      </c>
      <c r="BV72" s="50">
        <f t="shared" si="10"/>
        <v>41</v>
      </c>
    </row>
    <row r="73" spans="1:74" x14ac:dyDescent="0.25">
      <c r="A73" s="41" t="s">
        <v>231</v>
      </c>
      <c r="B73" s="41" t="s">
        <v>209</v>
      </c>
      <c r="C73" s="41">
        <v>7</v>
      </c>
      <c r="D73" s="41">
        <v>4</v>
      </c>
      <c r="E73" s="41"/>
      <c r="F73" s="41">
        <v>724</v>
      </c>
      <c r="G73" s="41" t="s">
        <v>95</v>
      </c>
      <c r="H73" s="41">
        <v>1</v>
      </c>
      <c r="I73" s="41">
        <v>1</v>
      </c>
      <c r="J73" s="41" t="str">
        <f>VLOOKUP(A73,'Table with Jurisdictions'!$A$4:$Q$129,17,0)</f>
        <v>Mission Viejo</v>
      </c>
      <c r="K73" s="41" t="s">
        <v>50</v>
      </c>
      <c r="L73" s="41"/>
      <c r="M73" s="41" t="s">
        <v>51</v>
      </c>
      <c r="N73" s="41">
        <v>18109.472112442701</v>
      </c>
      <c r="O73" s="41">
        <v>12124199.9214973</v>
      </c>
      <c r="P73" s="42">
        <v>118.617135170693</v>
      </c>
      <c r="Q73" s="41">
        <v>59</v>
      </c>
      <c r="R73" s="41">
        <v>49</v>
      </c>
      <c r="S73" s="41">
        <v>0</v>
      </c>
      <c r="T73" s="41">
        <v>0</v>
      </c>
      <c r="U73" s="41">
        <v>0</v>
      </c>
      <c r="V73" s="41">
        <v>0</v>
      </c>
      <c r="W73" s="41">
        <v>0</v>
      </c>
      <c r="X73" s="41">
        <v>0</v>
      </c>
      <c r="Y73" s="41">
        <v>0</v>
      </c>
      <c r="Z73" s="41">
        <v>100</v>
      </c>
      <c r="AA73" s="41">
        <v>0</v>
      </c>
      <c r="AB73" s="41">
        <v>0</v>
      </c>
      <c r="AC73" s="41">
        <v>0</v>
      </c>
      <c r="AD73" s="41">
        <v>0</v>
      </c>
      <c r="AE73" s="41">
        <v>3</v>
      </c>
      <c r="AF73" s="41">
        <v>0.35</v>
      </c>
      <c r="AG73" s="41">
        <v>8.3333333333330002E-3</v>
      </c>
      <c r="AH73" s="41">
        <v>0.46666666666666701</v>
      </c>
      <c r="AI73" s="41">
        <v>7.4375000000000005E-4</v>
      </c>
      <c r="AJ73" s="41">
        <v>1.3600000000000001E-3</v>
      </c>
      <c r="AK73" s="53">
        <f t="shared" si="7"/>
        <v>69.984109750708882</v>
      </c>
      <c r="AL73" s="43">
        <v>1.1262500000000001E-3</v>
      </c>
      <c r="AM73" s="43">
        <f>IF(ISBLANK(AT73),AL73*'ratio of flow'!$D$1,AT73)</f>
        <v>5.5599112342333301E-4</v>
      </c>
      <c r="AN73" s="44" t="s">
        <v>52</v>
      </c>
      <c r="AO73" s="44" t="s">
        <v>53</v>
      </c>
      <c r="AP73" s="44" t="s">
        <v>53</v>
      </c>
      <c r="AQ73" s="44" t="s">
        <v>114</v>
      </c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1"/>
      <c r="BD73" s="41"/>
      <c r="BE73" s="41"/>
      <c r="BF73" s="41"/>
      <c r="BG73" s="41"/>
      <c r="BH73" s="41"/>
      <c r="BI73" s="41"/>
      <c r="BJ73" s="41"/>
      <c r="BK73" s="46">
        <f>IFERROR(VLOOKUP(AQ73,'Scoring and Weighting'!$B$10:$C$12,2,FALSE),'Scoring and Weighting'!$C$13)</f>
        <v>60</v>
      </c>
      <c r="BL73" s="46">
        <f>VLOOKUP(AM73,'Scoring and Weighting'!$C$19:$F$23,4)</f>
        <v>30</v>
      </c>
      <c r="BM73" s="47">
        <f t="shared" si="9"/>
        <v>40</v>
      </c>
      <c r="BN73" s="46">
        <f>IFERROR(VLOOKUP('Summary Table for Print'!AK73,'Scoring and Weighting'!$C$35:$F$39,4,1),30)</f>
        <v>30</v>
      </c>
      <c r="BO73" s="46">
        <f t="shared" si="8"/>
        <v>60</v>
      </c>
      <c r="BP73" s="47">
        <f>IFERROR(VLOOKUP(AN73,'Scoring and Weighting'!$B$63:$C$65,2,FALSE),1)</f>
        <v>1</v>
      </c>
      <c r="BQ73" s="49">
        <f>BK73*'Scoring and Weighting'!$C$55*'Summary Table for Print'!BP73</f>
        <v>15</v>
      </c>
      <c r="BR73" s="49">
        <f>BL73*BP73*'Scoring and Weighting'!$C$56</f>
        <v>7.5</v>
      </c>
      <c r="BS73" s="49">
        <f>BP73*BM73*'Scoring and Weighting'!$C$57</f>
        <v>10</v>
      </c>
      <c r="BT73" s="49">
        <f>BP73*BN73*'Scoring and Weighting'!$C$58</f>
        <v>3</v>
      </c>
      <c r="BU73" s="49">
        <f>BP73*BO73*'Scoring and Weighting'!$C$59</f>
        <v>9</v>
      </c>
      <c r="BV73" s="50">
        <f t="shared" si="10"/>
        <v>44.5</v>
      </c>
    </row>
    <row r="74" spans="1:74" x14ac:dyDescent="0.25">
      <c r="A74" s="41" t="s">
        <v>232</v>
      </c>
      <c r="B74" s="41" t="s">
        <v>213</v>
      </c>
      <c r="C74" s="41">
        <v>48</v>
      </c>
      <c r="D74" s="41"/>
      <c r="E74" s="41"/>
      <c r="F74" s="41">
        <v>85</v>
      </c>
      <c r="G74" s="41" t="s">
        <v>214</v>
      </c>
      <c r="H74" s="41">
        <v>1</v>
      </c>
      <c r="I74" s="41">
        <v>0</v>
      </c>
      <c r="J74" s="41" t="str">
        <f>VLOOKUP(A74,'Table with Jurisdictions'!$A$4:$Q$129,17,0)</f>
        <v>Mission Viejo</v>
      </c>
      <c r="K74" s="41" t="s">
        <v>50</v>
      </c>
      <c r="L74" s="41"/>
      <c r="M74" s="41" t="s">
        <v>51</v>
      </c>
      <c r="N74" s="41">
        <v>22182.308562730799</v>
      </c>
      <c r="O74" s="41">
        <v>16230277.496748401</v>
      </c>
      <c r="P74" s="42">
        <v>27.700054538044501</v>
      </c>
      <c r="Q74" s="41">
        <v>76</v>
      </c>
      <c r="R74" s="41">
        <v>76</v>
      </c>
      <c r="S74" s="41">
        <v>0</v>
      </c>
      <c r="T74" s="41">
        <v>0</v>
      </c>
      <c r="U74" s="41">
        <v>0</v>
      </c>
      <c r="V74" s="41">
        <v>0</v>
      </c>
      <c r="W74" s="41">
        <v>0</v>
      </c>
      <c r="X74" s="41">
        <v>0</v>
      </c>
      <c r="Y74" s="41">
        <v>0</v>
      </c>
      <c r="Z74" s="41">
        <v>100</v>
      </c>
      <c r="AA74" s="41">
        <v>0</v>
      </c>
      <c r="AB74" s="41">
        <v>0</v>
      </c>
      <c r="AC74" s="41">
        <v>0</v>
      </c>
      <c r="AD74" s="41">
        <v>0</v>
      </c>
      <c r="AE74" s="41">
        <v>2</v>
      </c>
      <c r="AF74" s="41">
        <v>0.65</v>
      </c>
      <c r="AG74" s="41">
        <v>8.7499999999999994E-2</v>
      </c>
      <c r="AH74" s="41">
        <v>0.19166666666666701</v>
      </c>
      <c r="AI74" s="41">
        <v>2.1249999999999999E-4</v>
      </c>
      <c r="AJ74" s="41">
        <v>2.1193333333332998E-2</v>
      </c>
      <c r="AK74" s="53">
        <f t="shared" si="7"/>
        <v>21.052041448913819</v>
      </c>
      <c r="AL74" s="43">
        <v>1.0702916666666999E-2</v>
      </c>
      <c r="AM74" s="43">
        <f>IF(ISBLANK(AT74),AL74*'ratio of flow'!$D$1,AT74)</f>
        <v>5.283664072281021E-3</v>
      </c>
      <c r="AN74" s="44" t="s">
        <v>52</v>
      </c>
      <c r="AO74" s="44" t="s">
        <v>53</v>
      </c>
      <c r="AP74" s="44" t="s">
        <v>53</v>
      </c>
      <c r="AQ74" s="44" t="s">
        <v>114</v>
      </c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1"/>
      <c r="BD74" s="41"/>
      <c r="BE74" s="41"/>
      <c r="BF74" s="41"/>
      <c r="BG74" s="41"/>
      <c r="BH74" s="41"/>
      <c r="BI74" s="41"/>
      <c r="BJ74" s="41"/>
      <c r="BK74" s="46">
        <f>IFERROR(VLOOKUP(AQ74,'Scoring and Weighting'!$B$10:$C$12,2,FALSE),'Scoring and Weighting'!$C$13)</f>
        <v>60</v>
      </c>
      <c r="BL74" s="46">
        <f>VLOOKUP(AM74,'Scoring and Weighting'!$C$19:$F$23,4)</f>
        <v>30</v>
      </c>
      <c r="BM74" s="47">
        <f t="shared" si="9"/>
        <v>40</v>
      </c>
      <c r="BN74" s="46">
        <f>IFERROR(VLOOKUP('Summary Table for Print'!AK74,'Scoring and Weighting'!$C$35:$F$39,4,1),30)</f>
        <v>30</v>
      </c>
      <c r="BO74" s="46">
        <f t="shared" si="8"/>
        <v>60</v>
      </c>
      <c r="BP74" s="47">
        <f>IFERROR(VLOOKUP(AN74,'Scoring and Weighting'!$B$63:$C$65,2,FALSE),1)</f>
        <v>1</v>
      </c>
      <c r="BQ74" s="49">
        <f>BK74*'Scoring and Weighting'!$C$55*'Summary Table for Print'!BP74</f>
        <v>15</v>
      </c>
      <c r="BR74" s="49">
        <f>BL74*BP74*'Scoring and Weighting'!$C$56</f>
        <v>7.5</v>
      </c>
      <c r="BS74" s="49">
        <f>BP74*BM74*'Scoring and Weighting'!$C$57</f>
        <v>10</v>
      </c>
      <c r="BT74" s="49">
        <f>BP74*BN74*'Scoring and Weighting'!$C$58</f>
        <v>3</v>
      </c>
      <c r="BU74" s="49">
        <f>BP74*BO74*'Scoring and Weighting'!$C$59</f>
        <v>9</v>
      </c>
      <c r="BV74" s="50">
        <f t="shared" si="10"/>
        <v>44.5</v>
      </c>
    </row>
    <row r="75" spans="1:74" x14ac:dyDescent="0.25">
      <c r="A75" s="41" t="s">
        <v>254</v>
      </c>
      <c r="B75" s="41" t="s">
        <v>216</v>
      </c>
      <c r="C75" s="41">
        <v>60</v>
      </c>
      <c r="D75" s="41"/>
      <c r="E75" s="41"/>
      <c r="F75" s="41">
        <v>223</v>
      </c>
      <c r="G75" s="41" t="s">
        <v>95</v>
      </c>
      <c r="H75" s="41">
        <v>1</v>
      </c>
      <c r="I75" s="41">
        <v>0</v>
      </c>
      <c r="J75" s="41" t="str">
        <f>VLOOKUP(A75,'Table with Jurisdictions'!$A$4:$Q$129,17,0)</f>
        <v>Laguna Niguel</v>
      </c>
      <c r="K75" s="41" t="s">
        <v>50</v>
      </c>
      <c r="L75" s="41"/>
      <c r="M75" s="41" t="s">
        <v>84</v>
      </c>
      <c r="N75" s="41">
        <v>13991.243002029199</v>
      </c>
      <c r="O75" s="41">
        <v>5962437.9382879501</v>
      </c>
      <c r="P75" s="42">
        <v>185.37165055531901</v>
      </c>
      <c r="Q75" s="41">
        <v>72</v>
      </c>
      <c r="R75" s="41">
        <v>72</v>
      </c>
      <c r="S75" s="41">
        <v>0</v>
      </c>
      <c r="T75" s="41">
        <v>0</v>
      </c>
      <c r="U75" s="41">
        <v>0</v>
      </c>
      <c r="V75" s="41">
        <v>0</v>
      </c>
      <c r="W75" s="41">
        <v>100</v>
      </c>
      <c r="X75" s="41">
        <v>0</v>
      </c>
      <c r="Y75" s="41">
        <v>0</v>
      </c>
      <c r="Z75" s="41">
        <v>0</v>
      </c>
      <c r="AA75" s="41">
        <v>0</v>
      </c>
      <c r="AB75" s="41">
        <v>0</v>
      </c>
      <c r="AC75" s="41">
        <v>0</v>
      </c>
      <c r="AD75" s="41">
        <v>0</v>
      </c>
      <c r="AE75" s="41">
        <v>2</v>
      </c>
      <c r="AF75" s="41">
        <v>0.76</v>
      </c>
      <c r="AG75" s="41">
        <v>0.03</v>
      </c>
      <c r="AH75" s="41">
        <v>0.30788153579008298</v>
      </c>
      <c r="AI75" s="41">
        <v>1.9124999999999999E-3</v>
      </c>
      <c r="AJ75" s="41">
        <v>5.2643256801079997E-3</v>
      </c>
      <c r="AK75" s="53">
        <f t="shared" si="7"/>
        <v>133.46758839982968</v>
      </c>
      <c r="AL75" s="43">
        <v>3.5884128400539999E-3</v>
      </c>
      <c r="AM75" s="43">
        <f>IF(ISBLANK(AT75),AL75*'ratio of flow'!$D$1,AT75)</f>
        <v>1.7714767469463586E-3</v>
      </c>
      <c r="AN75" s="44"/>
      <c r="AO75" s="44"/>
      <c r="AP75" s="44"/>
      <c r="AQ75" s="44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1"/>
      <c r="BD75" s="41"/>
      <c r="BE75" s="41"/>
      <c r="BF75" s="41"/>
      <c r="BG75" s="41"/>
      <c r="BH75" s="41"/>
      <c r="BI75" s="41"/>
      <c r="BJ75" s="41"/>
      <c r="BK75" s="46">
        <f>IFERROR(VLOOKUP(AQ75,'Scoring and Weighting'!$B$10:$C$12,2,FALSE),'Scoring and Weighting'!$C$13)</f>
        <v>70</v>
      </c>
      <c r="BL75" s="46">
        <f>VLOOKUP(AM75,'Scoring and Weighting'!$C$19:$F$23,4)</f>
        <v>30</v>
      </c>
      <c r="BM75" s="47">
        <f t="shared" si="9"/>
        <v>40</v>
      </c>
      <c r="BN75" s="46">
        <f>IFERROR(VLOOKUP('Summary Table for Print'!AK75,'Scoring and Weighting'!$C$35:$F$39,4,1),30)</f>
        <v>50</v>
      </c>
      <c r="BO75" s="46">
        <f t="shared" si="8"/>
        <v>40</v>
      </c>
      <c r="BP75" s="47">
        <f>IFERROR(VLOOKUP(AN75,'Scoring and Weighting'!$B$63:$C$65,2,FALSE),1)</f>
        <v>1</v>
      </c>
      <c r="BQ75" s="49">
        <f>BK75*'Scoring and Weighting'!$C$55*'Summary Table for Print'!BP75</f>
        <v>17.5</v>
      </c>
      <c r="BR75" s="49">
        <f>BL75*BP75*'Scoring and Weighting'!$C$56</f>
        <v>7.5</v>
      </c>
      <c r="BS75" s="49">
        <f>BP75*BM75*'Scoring and Weighting'!$C$57</f>
        <v>10</v>
      </c>
      <c r="BT75" s="49">
        <f>BP75*BN75*'Scoring and Weighting'!$C$58</f>
        <v>5</v>
      </c>
      <c r="BU75" s="49">
        <f>BP75*BO75*'Scoring and Weighting'!$C$59</f>
        <v>6</v>
      </c>
      <c r="BV75" s="50">
        <f t="shared" si="10"/>
        <v>46</v>
      </c>
    </row>
    <row r="76" spans="1:74" x14ac:dyDescent="0.25">
      <c r="A76" s="41" t="s">
        <v>197</v>
      </c>
      <c r="B76" s="41" t="s">
        <v>218</v>
      </c>
      <c r="C76" s="41">
        <v>108</v>
      </c>
      <c r="D76" s="41"/>
      <c r="E76" s="41"/>
      <c r="F76" s="41">
        <v>731</v>
      </c>
      <c r="G76" s="41" t="s">
        <v>95</v>
      </c>
      <c r="H76" s="41">
        <v>1</v>
      </c>
      <c r="I76" s="41">
        <v>0</v>
      </c>
      <c r="J76" s="41" t="str">
        <f>VLOOKUP(A76,'Table with Jurisdictions'!$A$4:$Q$129,17,0)</f>
        <v>Laguna Niguel</v>
      </c>
      <c r="K76" s="41" t="s">
        <v>50</v>
      </c>
      <c r="L76" s="41"/>
      <c r="M76" s="41" t="s">
        <v>84</v>
      </c>
      <c r="N76" s="41">
        <v>7665.41359288078</v>
      </c>
      <c r="O76" s="41">
        <v>2386104.9140470098</v>
      </c>
      <c r="P76" s="42">
        <v>28.076261152776699</v>
      </c>
      <c r="Q76" s="41">
        <v>82</v>
      </c>
      <c r="R76" s="41">
        <v>82</v>
      </c>
      <c r="S76" s="41">
        <v>0</v>
      </c>
      <c r="T76" s="41">
        <v>0</v>
      </c>
      <c r="U76" s="41">
        <v>0</v>
      </c>
      <c r="V76" s="41">
        <v>0</v>
      </c>
      <c r="W76" s="41">
        <v>100</v>
      </c>
      <c r="X76" s="41">
        <v>0</v>
      </c>
      <c r="Y76" s="41">
        <v>0</v>
      </c>
      <c r="Z76" s="41">
        <v>0</v>
      </c>
      <c r="AA76" s="41">
        <v>0</v>
      </c>
      <c r="AB76" s="41">
        <v>0</v>
      </c>
      <c r="AC76" s="41">
        <v>0</v>
      </c>
      <c r="AD76" s="41">
        <v>0</v>
      </c>
      <c r="AE76" s="41">
        <v>3</v>
      </c>
      <c r="AF76" s="41">
        <v>2.2333333333333298</v>
      </c>
      <c r="AG76" s="41">
        <v>0.08</v>
      </c>
      <c r="AH76" s="41">
        <v>0.53888888888888897</v>
      </c>
      <c r="AI76" s="41">
        <v>3.4424999999999997E-2</v>
      </c>
      <c r="AJ76" s="41">
        <v>6.6640000000000005E-2</v>
      </c>
      <c r="AK76" s="53">
        <f t="shared" si="7"/>
        <v>23.022534145276889</v>
      </c>
      <c r="AL76" s="43">
        <v>5.1821666666667002E-2</v>
      </c>
      <c r="AM76" s="43">
        <f>IF(ISBLANK(AT76),AL76*'ratio of flow'!$D$1,AT76)</f>
        <v>2.5582585276510254E-2</v>
      </c>
      <c r="AN76" s="44"/>
      <c r="AO76" s="44"/>
      <c r="AP76" s="44"/>
      <c r="AQ76" s="44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1"/>
      <c r="BD76" s="41"/>
      <c r="BE76" s="41"/>
      <c r="BF76" s="41"/>
      <c r="BG76" s="41"/>
      <c r="BH76" s="41"/>
      <c r="BI76" s="41"/>
      <c r="BJ76" s="41"/>
      <c r="BK76" s="46">
        <f>IFERROR(VLOOKUP(AQ76,'Scoring and Weighting'!$B$10:$C$12,2,FALSE),'Scoring and Weighting'!$C$13)</f>
        <v>70</v>
      </c>
      <c r="BL76" s="46">
        <f>VLOOKUP(AM76,'Scoring and Weighting'!$C$19:$F$23,4)</f>
        <v>50</v>
      </c>
      <c r="BM76" s="47">
        <f t="shared" si="9"/>
        <v>40</v>
      </c>
      <c r="BN76" s="46">
        <f>IFERROR(VLOOKUP('Summary Table for Print'!AK76,'Scoring and Weighting'!$C$35:$F$39,4,1),30)</f>
        <v>30</v>
      </c>
      <c r="BO76" s="46">
        <f t="shared" si="8"/>
        <v>40</v>
      </c>
      <c r="BP76" s="47">
        <f>IFERROR(VLOOKUP(AN76,'Scoring and Weighting'!$B$63:$C$65,2,FALSE),1)</f>
        <v>1</v>
      </c>
      <c r="BQ76" s="49">
        <f>BK76*'Scoring and Weighting'!$C$55*'Summary Table for Print'!BP76</f>
        <v>17.5</v>
      </c>
      <c r="BR76" s="49">
        <f>BL76*BP76*'Scoring and Weighting'!$C$56</f>
        <v>12.5</v>
      </c>
      <c r="BS76" s="49">
        <f>BP76*BM76*'Scoring and Weighting'!$C$57</f>
        <v>10</v>
      </c>
      <c r="BT76" s="49">
        <f>BP76*BN76*'Scoring and Weighting'!$C$58</f>
        <v>3</v>
      </c>
      <c r="BU76" s="49">
        <f>BP76*BO76*'Scoring and Weighting'!$C$59</f>
        <v>6</v>
      </c>
      <c r="BV76" s="50">
        <f t="shared" si="10"/>
        <v>49</v>
      </c>
    </row>
    <row r="77" spans="1:74" x14ac:dyDescent="0.25">
      <c r="A77" s="41" t="s">
        <v>201</v>
      </c>
      <c r="B77" s="41"/>
      <c r="C77" s="41">
        <v>45</v>
      </c>
      <c r="D77" s="41"/>
      <c r="E77" s="41"/>
      <c r="F77" s="41">
        <v>125</v>
      </c>
      <c r="G77" s="41" t="s">
        <v>95</v>
      </c>
      <c r="H77" s="41">
        <v>1</v>
      </c>
      <c r="I77" s="41">
        <v>0</v>
      </c>
      <c r="J77" s="41" t="str">
        <f>VLOOKUP(A77,'Table with Jurisdictions'!$A$4:$Q$129,17,0)</f>
        <v>Laguna Niguel</v>
      </c>
      <c r="K77" s="41" t="s">
        <v>50</v>
      </c>
      <c r="L77" s="41"/>
      <c r="M77" s="41" t="s">
        <v>84</v>
      </c>
      <c r="N77" s="41">
        <v>12465.159821270599</v>
      </c>
      <c r="O77" s="41">
        <v>4934047.0104237199</v>
      </c>
      <c r="P77" s="42">
        <v>90.832181372580806</v>
      </c>
      <c r="Q77" s="41">
        <v>96</v>
      </c>
      <c r="R77" s="41">
        <v>96</v>
      </c>
      <c r="S77" s="41">
        <v>0</v>
      </c>
      <c r="T77" s="41">
        <v>0</v>
      </c>
      <c r="U77" s="41">
        <v>0</v>
      </c>
      <c r="V77" s="41">
        <v>0</v>
      </c>
      <c r="W77" s="41">
        <v>100</v>
      </c>
      <c r="X77" s="41">
        <v>0</v>
      </c>
      <c r="Y77" s="41">
        <v>0</v>
      </c>
      <c r="Z77" s="41">
        <v>0</v>
      </c>
      <c r="AA77" s="41">
        <v>0</v>
      </c>
      <c r="AB77" s="41">
        <v>0</v>
      </c>
      <c r="AC77" s="41">
        <v>0</v>
      </c>
      <c r="AD77" s="41">
        <v>0</v>
      </c>
      <c r="AE77" s="41">
        <v>2</v>
      </c>
      <c r="AF77" s="41">
        <v>0.375</v>
      </c>
      <c r="AG77" s="41">
        <v>1.2500000000000001E-2</v>
      </c>
      <c r="AH77" s="41">
        <v>1.3333333333333299</v>
      </c>
      <c r="AI77" s="41">
        <v>1.4875000000000001E-3</v>
      </c>
      <c r="AJ77" s="41">
        <v>1.1333333333332999E-2</v>
      </c>
      <c r="AK77" s="53">
        <f t="shared" si="7"/>
        <v>87.198894117677568</v>
      </c>
      <c r="AL77" s="43">
        <v>6.4104166666669998E-3</v>
      </c>
      <c r="AM77" s="43">
        <f>IF(ISBLANK(AT77),AL77*'ratio of flow'!$D$1,AT77)</f>
        <v>3.1646035641392611E-3</v>
      </c>
      <c r="AN77" s="44"/>
      <c r="AO77" s="44"/>
      <c r="AP77" s="44"/>
      <c r="AQ77" s="44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1"/>
      <c r="BD77" s="41"/>
      <c r="BE77" s="41"/>
      <c r="BF77" s="41"/>
      <c r="BG77" s="41"/>
      <c r="BH77" s="41"/>
      <c r="BI77" s="41"/>
      <c r="BJ77" s="41"/>
      <c r="BK77" s="46">
        <f>IFERROR(VLOOKUP(AQ77,'Scoring and Weighting'!$B$10:$C$12,2,FALSE),'Scoring and Weighting'!$C$13)</f>
        <v>70</v>
      </c>
      <c r="BL77" s="46">
        <f>VLOOKUP(AM77,'Scoring and Weighting'!$C$19:$F$23,4)</f>
        <v>30</v>
      </c>
      <c r="BM77" s="47">
        <f t="shared" si="9"/>
        <v>40</v>
      </c>
      <c r="BN77" s="46">
        <f>IFERROR(VLOOKUP('Summary Table for Print'!AK77,'Scoring and Weighting'!$C$35:$F$39,4,1),30)</f>
        <v>30</v>
      </c>
      <c r="BO77" s="46">
        <f t="shared" si="8"/>
        <v>40</v>
      </c>
      <c r="BP77" s="47">
        <f>IFERROR(VLOOKUP(AN77,'Scoring and Weighting'!$B$63:$C$65,2,FALSE),1)</f>
        <v>1</v>
      </c>
      <c r="BQ77" s="49">
        <f>BK77*'Scoring and Weighting'!$C$55*'Summary Table for Print'!BP77</f>
        <v>17.5</v>
      </c>
      <c r="BR77" s="49">
        <f>BL77*BP77*'Scoring and Weighting'!$C$56</f>
        <v>7.5</v>
      </c>
      <c r="BS77" s="49">
        <f>BP77*BM77*'Scoring and Weighting'!$C$57</f>
        <v>10</v>
      </c>
      <c r="BT77" s="49">
        <f>BP77*BN77*'Scoring and Weighting'!$C$58</f>
        <v>3</v>
      </c>
      <c r="BU77" s="49">
        <f>BP77*BO77*'Scoring and Weighting'!$C$59</f>
        <v>6</v>
      </c>
      <c r="BV77" s="50">
        <f t="shared" si="10"/>
        <v>44</v>
      </c>
    </row>
    <row r="78" spans="1:74" x14ac:dyDescent="0.25">
      <c r="A78" s="41" t="s">
        <v>200</v>
      </c>
      <c r="B78" s="41" t="s">
        <v>221</v>
      </c>
      <c r="C78" s="41">
        <v>72</v>
      </c>
      <c r="D78" s="41"/>
      <c r="E78" s="41"/>
      <c r="F78" s="41">
        <v>622</v>
      </c>
      <c r="G78" s="41" t="s">
        <v>62</v>
      </c>
      <c r="H78" s="41">
        <v>1</v>
      </c>
      <c r="I78" s="41">
        <v>0</v>
      </c>
      <c r="J78" s="41" t="str">
        <f>VLOOKUP(A78,'Table with Jurisdictions'!$A$4:$Q$129,17,0)</f>
        <v>Laguna Niguel</v>
      </c>
      <c r="K78" s="41" t="s">
        <v>50</v>
      </c>
      <c r="L78" s="41"/>
      <c r="M78" s="41" t="s">
        <v>84</v>
      </c>
      <c r="N78" s="41">
        <v>31105.578323764501</v>
      </c>
      <c r="O78" s="41">
        <v>24896287.277437501</v>
      </c>
      <c r="P78" s="42">
        <v>1399.04380454125</v>
      </c>
      <c r="Q78" s="41">
        <v>61</v>
      </c>
      <c r="R78" s="41">
        <v>58</v>
      </c>
      <c r="S78" s="41">
        <v>0</v>
      </c>
      <c r="T78" s="41">
        <v>0</v>
      </c>
      <c r="U78" s="41">
        <v>0</v>
      </c>
      <c r="V78" s="41">
        <v>0</v>
      </c>
      <c r="W78" s="41">
        <v>99</v>
      </c>
      <c r="X78" s="41">
        <v>0</v>
      </c>
      <c r="Y78" s="41">
        <v>0</v>
      </c>
      <c r="Z78" s="41">
        <v>0</v>
      </c>
      <c r="AA78" s="41">
        <v>0</v>
      </c>
      <c r="AB78" s="41">
        <v>0</v>
      </c>
      <c r="AC78" s="41">
        <v>0</v>
      </c>
      <c r="AD78" s="41">
        <v>1</v>
      </c>
      <c r="AE78" s="41">
        <v>1</v>
      </c>
      <c r="AF78" s="41">
        <v>2</v>
      </c>
      <c r="AG78" s="41">
        <v>0.1</v>
      </c>
      <c r="AH78" s="41">
        <v>2.4691358024691299</v>
      </c>
      <c r="AI78" s="41">
        <v>0.41975308641975301</v>
      </c>
      <c r="AJ78" s="41">
        <v>0.41975308641975301</v>
      </c>
      <c r="AK78" s="53">
        <f t="shared" si="7"/>
        <v>853.41672077016256</v>
      </c>
      <c r="AL78" s="43">
        <v>0.41975308641975301</v>
      </c>
      <c r="AM78" s="43">
        <f>IF(ISBLANK(AT78),AL78*'ratio of flow'!$D$1,AT78)</f>
        <v>0.20721774923767358</v>
      </c>
      <c r="AN78" s="44"/>
      <c r="AO78" s="44"/>
      <c r="AP78" s="44"/>
      <c r="AQ78" s="44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1"/>
      <c r="BD78" s="41"/>
      <c r="BE78" s="41"/>
      <c r="BF78" s="41"/>
      <c r="BG78" s="41"/>
      <c r="BH78" s="41"/>
      <c r="BI78" s="41"/>
      <c r="BJ78" s="41"/>
      <c r="BK78" s="46">
        <f>IFERROR(VLOOKUP(AQ78,'Scoring and Weighting'!$B$10:$C$12,2,FALSE),'Scoring and Weighting'!$C$13)</f>
        <v>70</v>
      </c>
      <c r="BL78" s="46">
        <f>VLOOKUP(AM78,'Scoring and Weighting'!$C$19:$F$23,4)</f>
        <v>90</v>
      </c>
      <c r="BM78" s="47">
        <f t="shared" si="9"/>
        <v>40</v>
      </c>
      <c r="BN78" s="46">
        <f>IFERROR(VLOOKUP('Summary Table for Print'!AK78,'Scoring and Weighting'!$C$35:$F$39,4,1),30)</f>
        <v>100</v>
      </c>
      <c r="BO78" s="46">
        <f t="shared" si="8"/>
        <v>20</v>
      </c>
      <c r="BP78" s="47">
        <f>IFERROR(VLOOKUP(AN78,'Scoring and Weighting'!$B$63:$C$65,2,FALSE),1)</f>
        <v>1</v>
      </c>
      <c r="BQ78" s="49">
        <f>BK78*'Scoring and Weighting'!$C$55*'Summary Table for Print'!BP78</f>
        <v>17.5</v>
      </c>
      <c r="BR78" s="49">
        <f>BL78*BP78*'Scoring and Weighting'!$C$56</f>
        <v>22.5</v>
      </c>
      <c r="BS78" s="49">
        <f>BP78*BM78*'Scoring and Weighting'!$C$57</f>
        <v>10</v>
      </c>
      <c r="BT78" s="49">
        <f>BP78*BN78*'Scoring and Weighting'!$C$58</f>
        <v>10</v>
      </c>
      <c r="BU78" s="49">
        <f>BP78*BO78*'Scoring and Weighting'!$C$59</f>
        <v>3</v>
      </c>
      <c r="BV78" s="50">
        <f t="shared" si="10"/>
        <v>63</v>
      </c>
    </row>
    <row r="79" spans="1:74" x14ac:dyDescent="0.25">
      <c r="A79" s="41" t="s">
        <v>203</v>
      </c>
      <c r="B79" s="41" t="s">
        <v>223</v>
      </c>
      <c r="C79" s="41">
        <v>66</v>
      </c>
      <c r="D79" s="41"/>
      <c r="E79" s="41"/>
      <c r="F79" s="41">
        <v>261</v>
      </c>
      <c r="G79" s="41" t="s">
        <v>95</v>
      </c>
      <c r="H79" s="41">
        <v>1</v>
      </c>
      <c r="I79" s="41">
        <v>0</v>
      </c>
      <c r="J79" s="41" t="str">
        <f>VLOOKUP(A79,'Table with Jurisdictions'!$A$4:$Q$129,17,0)</f>
        <v>Dana Point</v>
      </c>
      <c r="K79" s="41" t="s">
        <v>50</v>
      </c>
      <c r="L79" s="41"/>
      <c r="M79" s="41" t="s">
        <v>64</v>
      </c>
      <c r="N79" s="41">
        <v>13724.701221622399</v>
      </c>
      <c r="O79" s="41">
        <v>6518239.4396117097</v>
      </c>
      <c r="P79" s="42">
        <v>130.498925789358</v>
      </c>
      <c r="Q79" s="41">
        <v>100</v>
      </c>
      <c r="R79" s="41">
        <v>70</v>
      </c>
      <c r="S79" s="41">
        <v>0</v>
      </c>
      <c r="T79" s="41">
        <v>100</v>
      </c>
      <c r="U79" s="41">
        <v>0</v>
      </c>
      <c r="V79" s="41">
        <v>0</v>
      </c>
      <c r="W79" s="41">
        <v>0</v>
      </c>
      <c r="X79" s="41">
        <v>0</v>
      </c>
      <c r="Y79" s="41">
        <v>0</v>
      </c>
      <c r="Z79" s="41">
        <v>0</v>
      </c>
      <c r="AA79" s="41">
        <v>0</v>
      </c>
      <c r="AB79" s="41">
        <v>0</v>
      </c>
      <c r="AC79" s="41">
        <v>0</v>
      </c>
      <c r="AD79" s="41">
        <v>0</v>
      </c>
      <c r="AE79" s="41">
        <v>3</v>
      </c>
      <c r="AF79" s="41">
        <v>0.39</v>
      </c>
      <c r="AG79" s="41">
        <v>4.3333333333330001E-3</v>
      </c>
      <c r="AH79" s="41">
        <v>1.6666666666666601</v>
      </c>
      <c r="AI79" s="41">
        <v>5.44E-4</v>
      </c>
      <c r="AJ79" s="41">
        <v>8.5000000000000006E-3</v>
      </c>
      <c r="AK79" s="53">
        <f t="shared" si="7"/>
        <v>130.498925789358</v>
      </c>
      <c r="AL79" s="43">
        <v>3.2130000000000001E-3</v>
      </c>
      <c r="AM79" s="43">
        <f>IF(ISBLANK(AT79),AL79*'ratio of flow'!$D$1,AT79)</f>
        <v>1.5861482615397728E-3</v>
      </c>
      <c r="AN79" s="44" t="s">
        <v>210</v>
      </c>
      <c r="AO79" s="44"/>
      <c r="AP79" s="44" t="s">
        <v>211</v>
      </c>
      <c r="AQ79" s="44" t="s">
        <v>54</v>
      </c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1"/>
      <c r="BD79" s="41"/>
      <c r="BE79" s="41"/>
      <c r="BF79" s="41"/>
      <c r="BG79" s="41"/>
      <c r="BH79" s="41"/>
      <c r="BI79" s="41"/>
      <c r="BJ79" s="41"/>
      <c r="BK79" s="46">
        <f>IFERROR(VLOOKUP(AQ79,'Scoring and Weighting'!$B$10:$C$12,2,FALSE),'Scoring and Weighting'!$C$13)</f>
        <v>100</v>
      </c>
      <c r="BL79" s="46">
        <f>VLOOKUP(AM79,'Scoring and Weighting'!$C$19:$F$23,4)</f>
        <v>30</v>
      </c>
      <c r="BM79" s="47">
        <f t="shared" si="9"/>
        <v>40</v>
      </c>
      <c r="BN79" s="46">
        <f>IFERROR(VLOOKUP('Summary Table for Print'!AK79,'Scoring and Weighting'!$C$35:$F$39,4,1),30)</f>
        <v>50</v>
      </c>
      <c r="BO79" s="46">
        <f t="shared" si="8"/>
        <v>60</v>
      </c>
      <c r="BP79" s="47">
        <f>IFERROR(VLOOKUP(AN79,'Scoring and Weighting'!$B$63:$C$65,2,FALSE),1)</f>
        <v>0</v>
      </c>
      <c r="BQ79" s="49">
        <f>BK79*'Scoring and Weighting'!$C$55*'Summary Table for Print'!BP79</f>
        <v>0</v>
      </c>
      <c r="BR79" s="49">
        <f>BL79*BP79*'Scoring and Weighting'!$C$56</f>
        <v>0</v>
      </c>
      <c r="BS79" s="49">
        <f>BP79*BM79*'Scoring and Weighting'!$C$57</f>
        <v>0</v>
      </c>
      <c r="BT79" s="49">
        <f>BP79*BN79*'Scoring and Weighting'!$C$58</f>
        <v>0</v>
      </c>
      <c r="BU79" s="49">
        <f>BP79*BO79*'Scoring and Weighting'!$C$59</f>
        <v>0</v>
      </c>
      <c r="BV79" s="50">
        <f t="shared" si="10"/>
        <v>0</v>
      </c>
    </row>
    <row r="80" spans="1:74" x14ac:dyDescent="0.25">
      <c r="A80" s="41" t="s">
        <v>219</v>
      </c>
      <c r="B80" s="41"/>
      <c r="C80" s="41">
        <v>66</v>
      </c>
      <c r="D80" s="41"/>
      <c r="E80" s="41"/>
      <c r="F80" s="41">
        <v>455</v>
      </c>
      <c r="G80" s="41" t="s">
        <v>109</v>
      </c>
      <c r="H80" s="41">
        <v>1</v>
      </c>
      <c r="I80" s="41">
        <v>0</v>
      </c>
      <c r="J80" s="41" t="str">
        <f>VLOOKUP(A80,'Table with Jurisdictions'!$A$4:$Q$129,17,0)</f>
        <v>Multiple</v>
      </c>
      <c r="K80" s="41" t="s">
        <v>50</v>
      </c>
      <c r="L80" s="41"/>
      <c r="M80" s="41" t="s">
        <v>64</v>
      </c>
      <c r="N80" s="41">
        <v>9216.2628644392807</v>
      </c>
      <c r="O80" s="41">
        <v>3591425.09372397</v>
      </c>
      <c r="P80" s="42">
        <v>113.27048633474899</v>
      </c>
      <c r="Q80" s="41">
        <v>10</v>
      </c>
      <c r="R80" s="41">
        <v>9</v>
      </c>
      <c r="S80" s="41">
        <v>0</v>
      </c>
      <c r="T80" s="41">
        <v>0</v>
      </c>
      <c r="U80" s="41">
        <v>0</v>
      </c>
      <c r="V80" s="41">
        <v>0</v>
      </c>
      <c r="W80" s="41">
        <v>0</v>
      </c>
      <c r="X80" s="41">
        <v>0</v>
      </c>
      <c r="Y80" s="41">
        <v>0</v>
      </c>
      <c r="Z80" s="41">
        <v>0</v>
      </c>
      <c r="AA80" s="41">
        <v>52</v>
      </c>
      <c r="AB80" s="41">
        <v>48</v>
      </c>
      <c r="AC80" s="41">
        <v>0</v>
      </c>
      <c r="AD80" s="41">
        <v>0</v>
      </c>
      <c r="AE80" s="41">
        <v>1</v>
      </c>
      <c r="AF80" s="41">
        <v>0.3</v>
      </c>
      <c r="AG80" s="41">
        <v>0.7</v>
      </c>
      <c r="AH80" s="41">
        <v>0.2</v>
      </c>
      <c r="AI80" s="41">
        <v>3.5700000000000003E-2</v>
      </c>
      <c r="AJ80" s="41">
        <v>3.5700000000000003E-2</v>
      </c>
      <c r="AK80" s="53">
        <f t="shared" si="7"/>
        <v>11.327048633474899</v>
      </c>
      <c r="AL80" s="43">
        <v>3.5700000000000003E-2</v>
      </c>
      <c r="AM80" s="43">
        <f>IF(ISBLANK(AT80),AL80*'ratio of flow'!$D$1,AT80)</f>
        <v>1.7623869572664142E-2</v>
      </c>
      <c r="AN80" s="44"/>
      <c r="AO80" s="44"/>
      <c r="AP80" s="44"/>
      <c r="AQ80" s="44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1"/>
      <c r="BD80" s="41"/>
      <c r="BE80" s="41"/>
      <c r="BF80" s="41"/>
      <c r="BG80" s="41"/>
      <c r="BH80" s="41"/>
      <c r="BI80" s="41"/>
      <c r="BJ80" s="41"/>
      <c r="BK80" s="46">
        <f>IFERROR(VLOOKUP(AQ80,'Scoring and Weighting'!$B$10:$C$12,2,FALSE),'Scoring and Weighting'!$C$13)</f>
        <v>70</v>
      </c>
      <c r="BL80" s="46">
        <f>VLOOKUP(AM80,'Scoring and Weighting'!$C$19:$F$23,4)</f>
        <v>50</v>
      </c>
      <c r="BM80" s="47">
        <f t="shared" si="9"/>
        <v>40</v>
      </c>
      <c r="BN80" s="46">
        <f>IFERROR(VLOOKUP('Summary Table for Print'!AK80,'Scoring and Weighting'!$C$35:$F$39,4,1),30)</f>
        <v>30</v>
      </c>
      <c r="BO80" s="46">
        <f t="shared" si="8"/>
        <v>20</v>
      </c>
      <c r="BP80" s="47">
        <f>IFERROR(VLOOKUP(AN80,'Scoring and Weighting'!$B$63:$C$65,2,FALSE),1)</f>
        <v>1</v>
      </c>
      <c r="BQ80" s="49">
        <f>BK80*'Scoring and Weighting'!$C$55*'Summary Table for Print'!BP80</f>
        <v>17.5</v>
      </c>
      <c r="BR80" s="49">
        <f>BL80*BP80*'Scoring and Weighting'!$C$56</f>
        <v>12.5</v>
      </c>
      <c r="BS80" s="49">
        <f>BP80*BM80*'Scoring and Weighting'!$C$57</f>
        <v>10</v>
      </c>
      <c r="BT80" s="49">
        <f>BP80*BN80*'Scoring and Weighting'!$C$58</f>
        <v>3</v>
      </c>
      <c r="BU80" s="49">
        <f>BP80*BO80*'Scoring and Weighting'!$C$59</f>
        <v>3</v>
      </c>
      <c r="BV80" s="50">
        <f t="shared" si="10"/>
        <v>46</v>
      </c>
    </row>
    <row r="81" spans="1:74" x14ac:dyDescent="0.25">
      <c r="A81" s="41" t="s">
        <v>248</v>
      </c>
      <c r="B81" s="41"/>
      <c r="C81" s="41">
        <v>36</v>
      </c>
      <c r="D81" s="41"/>
      <c r="E81" s="41"/>
      <c r="F81" s="41">
        <v>455</v>
      </c>
      <c r="G81" s="41" t="s">
        <v>109</v>
      </c>
      <c r="H81" s="41">
        <v>1</v>
      </c>
      <c r="I81" s="41">
        <v>0</v>
      </c>
      <c r="J81" s="41" t="str">
        <f>VLOOKUP(A81,'Table with Jurisdictions'!$A$4:$Q$129,17,0)</f>
        <v>Rancho Santa Margarita</v>
      </c>
      <c r="K81" s="41" t="s">
        <v>50</v>
      </c>
      <c r="L81" s="41"/>
      <c r="M81" s="41" t="s">
        <v>64</v>
      </c>
      <c r="N81" s="41">
        <v>8228.7562578796096</v>
      </c>
      <c r="O81" s="41">
        <v>2797168.4633029299</v>
      </c>
      <c r="P81" s="42">
        <v>32.563122791757003</v>
      </c>
      <c r="Q81" s="41">
        <v>79</v>
      </c>
      <c r="R81" s="41">
        <v>79</v>
      </c>
      <c r="S81" s="41">
        <v>0</v>
      </c>
      <c r="T81" s="41">
        <v>0</v>
      </c>
      <c r="U81" s="41">
        <v>0</v>
      </c>
      <c r="V81" s="41">
        <v>0</v>
      </c>
      <c r="W81" s="41">
        <v>0</v>
      </c>
      <c r="X81" s="41">
        <v>0</v>
      </c>
      <c r="Y81" s="41">
        <v>0</v>
      </c>
      <c r="Z81" s="41">
        <v>0</v>
      </c>
      <c r="AA81" s="41">
        <v>0</v>
      </c>
      <c r="AB81" s="41">
        <v>100</v>
      </c>
      <c r="AC81" s="41">
        <v>0</v>
      </c>
      <c r="AD81" s="41">
        <v>0</v>
      </c>
      <c r="AE81" s="41">
        <v>1</v>
      </c>
      <c r="AF81" s="41">
        <v>0.3</v>
      </c>
      <c r="AG81" s="41">
        <v>0.01</v>
      </c>
      <c r="AH81" s="41">
        <v>2</v>
      </c>
      <c r="AI81" s="41">
        <v>5.1000000000000004E-3</v>
      </c>
      <c r="AJ81" s="41">
        <v>5.1000000000000004E-3</v>
      </c>
      <c r="AK81" s="53">
        <f t="shared" si="7"/>
        <v>25.724867005488033</v>
      </c>
      <c r="AL81" s="43">
        <v>5.1000000000000004E-3</v>
      </c>
      <c r="AM81" s="43">
        <f>IF(ISBLANK(AT81),AL81*'ratio of flow'!$D$1,AT81)</f>
        <v>2.5176956532377347E-3</v>
      </c>
      <c r="AN81" s="44"/>
      <c r="AO81" s="44"/>
      <c r="AP81" s="44"/>
      <c r="AQ81" s="44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1"/>
      <c r="BD81" s="41"/>
      <c r="BE81" s="41"/>
      <c r="BF81" s="41"/>
      <c r="BG81" s="41"/>
      <c r="BH81" s="41"/>
      <c r="BI81" s="41"/>
      <c r="BJ81" s="41"/>
      <c r="BK81" s="46">
        <f>IFERROR(VLOOKUP(AQ81,'Scoring and Weighting'!$B$10:$C$12,2,FALSE),'Scoring and Weighting'!$C$13)</f>
        <v>70</v>
      </c>
      <c r="BL81" s="46">
        <f>VLOOKUP(AM81,'Scoring and Weighting'!$C$19:$F$23,4)</f>
        <v>30</v>
      </c>
      <c r="BM81" s="47">
        <f t="shared" si="9"/>
        <v>40</v>
      </c>
      <c r="BN81" s="46">
        <f>IFERROR(VLOOKUP('Summary Table for Print'!AK81,'Scoring and Weighting'!$C$35:$F$39,4,1),30)</f>
        <v>30</v>
      </c>
      <c r="BO81" s="46">
        <f t="shared" si="8"/>
        <v>20</v>
      </c>
      <c r="BP81" s="47">
        <f>IFERROR(VLOOKUP(AN81,'Scoring and Weighting'!$B$63:$C$65,2,FALSE),1)</f>
        <v>1</v>
      </c>
      <c r="BQ81" s="49">
        <f>BK81*'Scoring and Weighting'!$C$55*'Summary Table for Print'!BP81</f>
        <v>17.5</v>
      </c>
      <c r="BR81" s="49">
        <f>BL81*BP81*'Scoring and Weighting'!$C$56</f>
        <v>7.5</v>
      </c>
      <c r="BS81" s="49">
        <f>BP81*BM81*'Scoring and Weighting'!$C$57</f>
        <v>10</v>
      </c>
      <c r="BT81" s="49">
        <f>BP81*BN81*'Scoring and Weighting'!$C$58</f>
        <v>3</v>
      </c>
      <c r="BU81" s="49">
        <f>BP81*BO81*'Scoring and Weighting'!$C$59</f>
        <v>3</v>
      </c>
      <c r="BV81" s="50">
        <f t="shared" si="10"/>
        <v>41</v>
      </c>
    </row>
    <row r="82" spans="1:74" x14ac:dyDescent="0.25">
      <c r="A82" s="41" t="s">
        <v>215</v>
      </c>
      <c r="B82" s="41"/>
      <c r="C82" s="41">
        <v>36</v>
      </c>
      <c r="D82" s="41">
        <v>3</v>
      </c>
      <c r="E82" s="41">
        <v>8</v>
      </c>
      <c r="F82" s="41">
        <v>418</v>
      </c>
      <c r="G82" s="41" t="s">
        <v>109</v>
      </c>
      <c r="H82" s="41">
        <v>1</v>
      </c>
      <c r="I82" s="41">
        <v>0</v>
      </c>
      <c r="J82" s="41" t="str">
        <f>VLOOKUP(A82,'Table with Jurisdictions'!$A$4:$Q$129,17,0)</f>
        <v>Rancho Santa Margarita</v>
      </c>
      <c r="K82" s="41" t="s">
        <v>50</v>
      </c>
      <c r="L82" s="41"/>
      <c r="M82" s="41" t="s">
        <v>64</v>
      </c>
      <c r="N82" s="41">
        <v>11504.462517390601</v>
      </c>
      <c r="O82" s="41">
        <v>5388978.4921620702</v>
      </c>
      <c r="P82" s="42">
        <v>136.87916705776101</v>
      </c>
      <c r="Q82" s="41">
        <v>52</v>
      </c>
      <c r="R82" s="41">
        <v>52</v>
      </c>
      <c r="S82" s="41">
        <v>0</v>
      </c>
      <c r="T82" s="41">
        <v>0</v>
      </c>
      <c r="U82" s="41">
        <v>0</v>
      </c>
      <c r="V82" s="41">
        <v>0</v>
      </c>
      <c r="W82" s="41">
        <v>0</v>
      </c>
      <c r="X82" s="41">
        <v>0</v>
      </c>
      <c r="Y82" s="41">
        <v>0</v>
      </c>
      <c r="Z82" s="41">
        <v>0</v>
      </c>
      <c r="AA82" s="41">
        <v>4</v>
      </c>
      <c r="AB82" s="41">
        <v>96</v>
      </c>
      <c r="AC82" s="41">
        <v>0</v>
      </c>
      <c r="AD82" s="41">
        <v>0</v>
      </c>
      <c r="AE82" s="41">
        <v>1</v>
      </c>
      <c r="AF82" s="41">
        <v>0.2</v>
      </c>
      <c r="AG82" s="41">
        <v>0.02</v>
      </c>
      <c r="AH82" s="41">
        <v>1</v>
      </c>
      <c r="AI82" s="41">
        <v>3.3999999999999998E-3</v>
      </c>
      <c r="AJ82" s="41">
        <v>3.3999999999999998E-3</v>
      </c>
      <c r="AK82" s="53">
        <f t="shared" si="7"/>
        <v>71.17716687003572</v>
      </c>
      <c r="AL82" s="43">
        <v>3.3999999999999998E-3</v>
      </c>
      <c r="AM82" s="43">
        <f>IF(ISBLANK(AT82),AL82*'ratio of flow'!$D$1,AT82)</f>
        <v>1.6784637688251561E-3</v>
      </c>
      <c r="AN82" s="44"/>
      <c r="AO82" s="44"/>
      <c r="AP82" s="44"/>
      <c r="AQ82" s="44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1"/>
      <c r="BD82" s="41"/>
      <c r="BE82" s="41"/>
      <c r="BF82" s="41"/>
      <c r="BG82" s="41"/>
      <c r="BH82" s="41"/>
      <c r="BI82" s="41"/>
      <c r="BJ82" s="41"/>
      <c r="BK82" s="46">
        <f>IFERROR(VLOOKUP(AQ82,'Scoring and Weighting'!$B$10:$C$12,2,FALSE),'Scoring and Weighting'!$C$13)</f>
        <v>70</v>
      </c>
      <c r="BL82" s="46">
        <f>VLOOKUP(AM82,'Scoring and Weighting'!$C$19:$F$23,4)</f>
        <v>30</v>
      </c>
      <c r="BM82" s="47">
        <f t="shared" si="9"/>
        <v>40</v>
      </c>
      <c r="BN82" s="46">
        <f>IFERROR(VLOOKUP('Summary Table for Print'!AK82,'Scoring and Weighting'!$C$35:$F$39,4,1),30)</f>
        <v>30</v>
      </c>
      <c r="BO82" s="46">
        <f t="shared" si="8"/>
        <v>20</v>
      </c>
      <c r="BP82" s="47">
        <f>IFERROR(VLOOKUP(AN82,'Scoring and Weighting'!$B$63:$C$65,2,FALSE),1)</f>
        <v>1</v>
      </c>
      <c r="BQ82" s="49">
        <f>BK82*'Scoring and Weighting'!$C$55*'Summary Table for Print'!BP82</f>
        <v>17.5</v>
      </c>
      <c r="BR82" s="49">
        <f>BL82*BP82*'Scoring and Weighting'!$C$56</f>
        <v>7.5</v>
      </c>
      <c r="BS82" s="49">
        <f>BP82*BM82*'Scoring and Weighting'!$C$57</f>
        <v>10</v>
      </c>
      <c r="BT82" s="49">
        <f>BP82*BN82*'Scoring and Weighting'!$C$58</f>
        <v>3</v>
      </c>
      <c r="BU82" s="49">
        <f>BP82*BO82*'Scoring and Weighting'!$C$59</f>
        <v>3</v>
      </c>
      <c r="BV82" s="50">
        <f t="shared" si="10"/>
        <v>41</v>
      </c>
    </row>
    <row r="83" spans="1:74" x14ac:dyDescent="0.25">
      <c r="A83" s="41" t="s">
        <v>222</v>
      </c>
      <c r="B83" s="41"/>
      <c r="C83" s="41">
        <v>36</v>
      </c>
      <c r="D83" s="41"/>
      <c r="E83" s="41"/>
      <c r="F83" s="41">
        <v>708</v>
      </c>
      <c r="G83" s="41" t="s">
        <v>109</v>
      </c>
      <c r="H83" s="41">
        <v>1</v>
      </c>
      <c r="I83" s="41">
        <v>0</v>
      </c>
      <c r="J83" s="41" t="str">
        <f>VLOOKUP(A83,'Table with Jurisdictions'!$A$4:$Q$129,17,0)</f>
        <v>Orange County</v>
      </c>
      <c r="K83" s="41" t="s">
        <v>50</v>
      </c>
      <c r="L83" s="41"/>
      <c r="M83" s="41" t="s">
        <v>64</v>
      </c>
      <c r="N83" s="41">
        <v>15022.148308321501</v>
      </c>
      <c r="O83" s="41">
        <v>4747546.2285604104</v>
      </c>
      <c r="P83" s="42">
        <v>149.63865358626899</v>
      </c>
      <c r="Q83" s="41">
        <v>55</v>
      </c>
      <c r="R83" s="41">
        <v>55</v>
      </c>
      <c r="S83" s="41">
        <v>0</v>
      </c>
      <c r="T83" s="41">
        <v>0</v>
      </c>
      <c r="U83" s="41">
        <v>0</v>
      </c>
      <c r="V83" s="41">
        <v>0</v>
      </c>
      <c r="W83" s="41">
        <v>0</v>
      </c>
      <c r="X83" s="41">
        <v>0</v>
      </c>
      <c r="Y83" s="41">
        <v>0</v>
      </c>
      <c r="Z83" s="41">
        <v>0</v>
      </c>
      <c r="AA83" s="41">
        <v>100</v>
      </c>
      <c r="AB83" s="41">
        <v>0</v>
      </c>
      <c r="AC83" s="41">
        <v>0</v>
      </c>
      <c r="AD83" s="41">
        <v>0</v>
      </c>
      <c r="AE83" s="41">
        <v>1</v>
      </c>
      <c r="AF83" s="41">
        <v>0.94</v>
      </c>
      <c r="AG83" s="41">
        <v>0.01</v>
      </c>
      <c r="AH83" s="41">
        <v>0.6</v>
      </c>
      <c r="AI83" s="41">
        <v>4.7939999999999997E-3</v>
      </c>
      <c r="AJ83" s="41">
        <v>4.7939999999999997E-3</v>
      </c>
      <c r="AK83" s="53">
        <f t="shared" si="7"/>
        <v>82.301259472447953</v>
      </c>
      <c r="AL83" s="43">
        <v>4.7939999999999997E-3</v>
      </c>
      <c r="AM83" s="43">
        <f>IF(ISBLANK(AT83),AL83*'ratio of flow'!$D$1,AT83)</f>
        <v>2.3666339140434702E-3</v>
      </c>
      <c r="AN83" s="44"/>
      <c r="AO83" s="44"/>
      <c r="AP83" s="44"/>
      <c r="AQ83" s="44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1"/>
      <c r="BD83" s="41"/>
      <c r="BE83" s="41"/>
      <c r="BF83" s="41"/>
      <c r="BG83" s="41"/>
      <c r="BH83" s="41"/>
      <c r="BI83" s="41"/>
      <c r="BJ83" s="41"/>
      <c r="BK83" s="46">
        <f>IFERROR(VLOOKUP(AQ83,'Scoring and Weighting'!$B$10:$C$12,2,FALSE),'Scoring and Weighting'!$C$13)</f>
        <v>70</v>
      </c>
      <c r="BL83" s="46">
        <f>VLOOKUP(AM83,'Scoring and Weighting'!$C$19:$F$23,4)</f>
        <v>30</v>
      </c>
      <c r="BM83" s="47">
        <f t="shared" si="9"/>
        <v>40</v>
      </c>
      <c r="BN83" s="46">
        <f>IFERROR(VLOOKUP('Summary Table for Print'!AK83,'Scoring and Weighting'!$C$35:$F$39,4,1),30)</f>
        <v>30</v>
      </c>
      <c r="BO83" s="46">
        <f t="shared" si="8"/>
        <v>20</v>
      </c>
      <c r="BP83" s="47">
        <f>IFERROR(VLOOKUP(AN83,'Scoring and Weighting'!$B$63:$C$65,2,FALSE),1)</f>
        <v>1</v>
      </c>
      <c r="BQ83" s="49">
        <f>BK83*'Scoring and Weighting'!$C$55*'Summary Table for Print'!BP83</f>
        <v>17.5</v>
      </c>
      <c r="BR83" s="49">
        <f>BL83*BP83*'Scoring and Weighting'!$C$56</f>
        <v>7.5</v>
      </c>
      <c r="BS83" s="49">
        <f>BP83*BM83*'Scoring and Weighting'!$C$57</f>
        <v>10</v>
      </c>
      <c r="BT83" s="49">
        <f>BP83*BN83*'Scoring and Weighting'!$C$58</f>
        <v>3</v>
      </c>
      <c r="BU83" s="49">
        <f>BP83*BO83*'Scoring and Weighting'!$C$59</f>
        <v>3</v>
      </c>
      <c r="BV83" s="50">
        <f t="shared" si="10"/>
        <v>41</v>
      </c>
    </row>
    <row r="84" spans="1:74" x14ac:dyDescent="0.25">
      <c r="A84" s="41" t="s">
        <v>241</v>
      </c>
      <c r="B84" s="41" t="s">
        <v>229</v>
      </c>
      <c r="C84" s="41">
        <v>48</v>
      </c>
      <c r="D84" s="41"/>
      <c r="E84" s="41"/>
      <c r="F84" s="41">
        <v>301</v>
      </c>
      <c r="G84" s="41" t="s">
        <v>102</v>
      </c>
      <c r="H84" s="41">
        <v>1</v>
      </c>
      <c r="I84" s="41">
        <v>0</v>
      </c>
      <c r="J84" s="41" t="str">
        <f>VLOOKUP(A84,'Table with Jurisdictions'!$A$4:$Q$129,17,0)</f>
        <v>Orange County</v>
      </c>
      <c r="K84" s="41" t="s">
        <v>50</v>
      </c>
      <c r="L84" s="41"/>
      <c r="M84" s="41" t="s">
        <v>64</v>
      </c>
      <c r="N84" s="41">
        <v>16978.040568464799</v>
      </c>
      <c r="O84" s="41">
        <v>8356353.56932614</v>
      </c>
      <c r="P84" s="42">
        <v>169.471717786239</v>
      </c>
      <c r="Q84" s="41">
        <v>66</v>
      </c>
      <c r="R84" s="41">
        <v>66</v>
      </c>
      <c r="S84" s="41">
        <v>0</v>
      </c>
      <c r="T84" s="41">
        <v>0</v>
      </c>
      <c r="U84" s="41">
        <v>0</v>
      </c>
      <c r="V84" s="41">
        <v>0</v>
      </c>
      <c r="W84" s="41">
        <v>0</v>
      </c>
      <c r="X84" s="41">
        <v>0</v>
      </c>
      <c r="Y84" s="41">
        <v>0</v>
      </c>
      <c r="Z84" s="41">
        <v>0</v>
      </c>
      <c r="AA84" s="41">
        <v>99</v>
      </c>
      <c r="AB84" s="41">
        <v>1</v>
      </c>
      <c r="AC84" s="41">
        <v>0</v>
      </c>
      <c r="AD84" s="41">
        <v>0</v>
      </c>
      <c r="AE84" s="41">
        <v>2</v>
      </c>
      <c r="AF84" s="41">
        <v>0.65</v>
      </c>
      <c r="AG84" s="41">
        <v>4.4999999999999998E-2</v>
      </c>
      <c r="AH84" s="41">
        <v>1.75</v>
      </c>
      <c r="AI84" s="41">
        <v>3.8249999999999999E-2</v>
      </c>
      <c r="AJ84" s="41">
        <v>4.0800000000000003E-2</v>
      </c>
      <c r="AK84" s="53">
        <f t="shared" si="7"/>
        <v>111.85133373891775</v>
      </c>
      <c r="AL84" s="43">
        <v>3.9524999999999998E-2</v>
      </c>
      <c r="AM84" s="43">
        <f>IF(ISBLANK(AT84),AL84*'ratio of flow'!$D$1,AT84)</f>
        <v>1.9512141312592442E-2</v>
      </c>
      <c r="AN84" s="44"/>
      <c r="AO84" s="44"/>
      <c r="AP84" s="44"/>
      <c r="AQ84" s="44" t="s">
        <v>114</v>
      </c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1"/>
      <c r="BD84" s="41"/>
      <c r="BE84" s="41"/>
      <c r="BF84" s="41"/>
      <c r="BG84" s="41"/>
      <c r="BH84" s="41"/>
      <c r="BI84" s="41"/>
      <c r="BJ84" s="41"/>
      <c r="BK84" s="46">
        <f>IFERROR(VLOOKUP(AQ84,'Scoring and Weighting'!$B$10:$C$12,2,FALSE),'Scoring and Weighting'!$C$13)</f>
        <v>60</v>
      </c>
      <c r="BL84" s="46">
        <f>VLOOKUP(AM84,'Scoring and Weighting'!$C$19:$F$23,4)</f>
        <v>50</v>
      </c>
      <c r="BM84" s="47">
        <f t="shared" si="9"/>
        <v>40</v>
      </c>
      <c r="BN84" s="46">
        <f>IFERROR(VLOOKUP('Summary Table for Print'!AK84,'Scoring and Weighting'!$C$35:$F$39,4,1),30)</f>
        <v>30</v>
      </c>
      <c r="BO84" s="46">
        <f t="shared" si="8"/>
        <v>40</v>
      </c>
      <c r="BP84" s="47">
        <f>IFERROR(VLOOKUP(AN84,'Scoring and Weighting'!$B$63:$C$65,2,FALSE),1)</f>
        <v>1</v>
      </c>
      <c r="BQ84" s="49">
        <f>BK84*'Scoring and Weighting'!$C$55*'Summary Table for Print'!BP84</f>
        <v>15</v>
      </c>
      <c r="BR84" s="49">
        <f>BL84*BP84*'Scoring and Weighting'!$C$56</f>
        <v>12.5</v>
      </c>
      <c r="BS84" s="49">
        <f>BP84*BM84*'Scoring and Weighting'!$C$57</f>
        <v>10</v>
      </c>
      <c r="BT84" s="49">
        <f>BP84*BN84*'Scoring and Weighting'!$C$58</f>
        <v>3</v>
      </c>
      <c r="BU84" s="49">
        <f>BP84*BO84*'Scoring and Weighting'!$C$59</f>
        <v>6</v>
      </c>
      <c r="BV84" s="50">
        <f t="shared" si="10"/>
        <v>46.5</v>
      </c>
    </row>
    <row r="85" spans="1:74" x14ac:dyDescent="0.25">
      <c r="A85" s="41" t="s">
        <v>273</v>
      </c>
      <c r="B85" s="41"/>
      <c r="C85" s="41">
        <v>36</v>
      </c>
      <c r="D85" s="41"/>
      <c r="E85" s="41"/>
      <c r="F85" s="41">
        <v>9110</v>
      </c>
      <c r="G85" s="41" t="s">
        <v>130</v>
      </c>
      <c r="H85" s="41">
        <v>1</v>
      </c>
      <c r="I85" s="41">
        <v>0</v>
      </c>
      <c r="J85" s="41" t="str">
        <f>VLOOKUP(A85,'Table with Jurisdictions'!$A$4:$Q$129,17,0)</f>
        <v>Orange County</v>
      </c>
      <c r="K85" s="41" t="s">
        <v>50</v>
      </c>
      <c r="L85" s="41"/>
      <c r="M85" s="41" t="s">
        <v>64</v>
      </c>
      <c r="N85" s="41">
        <v>9898.5179013252291</v>
      </c>
      <c r="O85" s="41">
        <v>4448267.6441821102</v>
      </c>
      <c r="P85" s="42">
        <v>117.61491369807</v>
      </c>
      <c r="Q85" s="41">
        <v>57</v>
      </c>
      <c r="R85" s="41">
        <v>57</v>
      </c>
      <c r="S85" s="41">
        <v>0</v>
      </c>
      <c r="T85" s="41">
        <v>0</v>
      </c>
      <c r="U85" s="41">
        <v>0</v>
      </c>
      <c r="V85" s="41">
        <v>0</v>
      </c>
      <c r="W85" s="41">
        <v>0</v>
      </c>
      <c r="X85" s="41">
        <v>0</v>
      </c>
      <c r="Y85" s="41">
        <v>0</v>
      </c>
      <c r="Z85" s="41">
        <v>0</v>
      </c>
      <c r="AA85" s="41">
        <v>100</v>
      </c>
      <c r="AB85" s="41">
        <v>0</v>
      </c>
      <c r="AC85" s="41">
        <v>0</v>
      </c>
      <c r="AD85" s="41">
        <v>0</v>
      </c>
      <c r="AE85" s="41">
        <v>1</v>
      </c>
      <c r="AF85" s="41">
        <v>0.64</v>
      </c>
      <c r="AG85" s="41">
        <v>0.02</v>
      </c>
      <c r="AH85" s="41">
        <v>0.75</v>
      </c>
      <c r="AI85" s="41">
        <v>8.1600000000000006E-3</v>
      </c>
      <c r="AJ85" s="41">
        <v>8.1600000000000006E-3</v>
      </c>
      <c r="AK85" s="53">
        <f t="shared" si="7"/>
        <v>67.040500807899903</v>
      </c>
      <c r="AL85" s="43">
        <v>8.1600000000000006E-3</v>
      </c>
      <c r="AM85" s="43">
        <f>IF(ISBLANK(AT85),AL85*'ratio of flow'!$D$1,AT85)</f>
        <v>4.0283130451803754E-3</v>
      </c>
      <c r="AN85" s="44"/>
      <c r="AO85" s="44"/>
      <c r="AP85" s="44"/>
      <c r="AQ85" s="44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1"/>
      <c r="BD85" s="41"/>
      <c r="BE85" s="41"/>
      <c r="BF85" s="41"/>
      <c r="BG85" s="41"/>
      <c r="BH85" s="41"/>
      <c r="BI85" s="41"/>
      <c r="BJ85" s="41"/>
      <c r="BK85" s="46">
        <f>IFERROR(VLOOKUP(AQ85,'Scoring and Weighting'!$B$10:$C$12,2,FALSE),'Scoring and Weighting'!$C$13)</f>
        <v>70</v>
      </c>
      <c r="BL85" s="46">
        <f>VLOOKUP(AM85,'Scoring and Weighting'!$C$19:$F$23,4)</f>
        <v>30</v>
      </c>
      <c r="BM85" s="47">
        <f t="shared" si="9"/>
        <v>40</v>
      </c>
      <c r="BN85" s="46">
        <f>IFERROR(VLOOKUP('Summary Table for Print'!AK85,'Scoring and Weighting'!$C$35:$F$39,4,1),30)</f>
        <v>30</v>
      </c>
      <c r="BO85" s="46">
        <f t="shared" si="8"/>
        <v>20</v>
      </c>
      <c r="BP85" s="47">
        <f>IFERROR(VLOOKUP(AN85,'Scoring and Weighting'!$B$63:$C$65,2,FALSE),1)</f>
        <v>1</v>
      </c>
      <c r="BQ85" s="49">
        <f>BK85*'Scoring and Weighting'!$C$55*'Summary Table for Print'!BP85</f>
        <v>17.5</v>
      </c>
      <c r="BR85" s="49">
        <f>BL85*BP85*'Scoring and Weighting'!$C$56</f>
        <v>7.5</v>
      </c>
      <c r="BS85" s="49">
        <f>BP85*BM85*'Scoring and Weighting'!$C$57</f>
        <v>10</v>
      </c>
      <c r="BT85" s="49">
        <f>BP85*BN85*'Scoring and Weighting'!$C$58</f>
        <v>3</v>
      </c>
      <c r="BU85" s="49">
        <f>BP85*BO85*'Scoring and Weighting'!$C$59</f>
        <v>3</v>
      </c>
      <c r="BV85" s="50">
        <f t="shared" si="10"/>
        <v>41</v>
      </c>
    </row>
    <row r="86" spans="1:74" x14ac:dyDescent="0.25">
      <c r="A86" s="41" t="s">
        <v>268</v>
      </c>
      <c r="B86" s="41"/>
      <c r="C86" s="41">
        <v>48</v>
      </c>
      <c r="D86" s="41"/>
      <c r="E86" s="41"/>
      <c r="F86" s="41">
        <v>9110</v>
      </c>
      <c r="G86" s="41" t="s">
        <v>130</v>
      </c>
      <c r="H86" s="41">
        <v>1</v>
      </c>
      <c r="I86" s="41">
        <v>0</v>
      </c>
      <c r="J86" s="41" t="str">
        <f>VLOOKUP(A86,'Table with Jurisdictions'!$A$4:$Q$129,17,0)</f>
        <v>Orange County</v>
      </c>
      <c r="K86" s="41" t="s">
        <v>50</v>
      </c>
      <c r="L86" s="41"/>
      <c r="M86" s="41" t="s">
        <v>64</v>
      </c>
      <c r="N86" s="41">
        <v>11730.484596320601</v>
      </c>
      <c r="O86" s="41">
        <v>5166946.30801138</v>
      </c>
      <c r="P86" s="42">
        <v>237.79044170954401</v>
      </c>
      <c r="Q86" s="41">
        <v>49</v>
      </c>
      <c r="R86" s="41">
        <v>49</v>
      </c>
      <c r="S86" s="41">
        <v>0</v>
      </c>
      <c r="T86" s="41">
        <v>0</v>
      </c>
      <c r="U86" s="41">
        <v>0</v>
      </c>
      <c r="V86" s="41">
        <v>0</v>
      </c>
      <c r="W86" s="41">
        <v>0</v>
      </c>
      <c r="X86" s="41">
        <v>0</v>
      </c>
      <c r="Y86" s="41">
        <v>0</v>
      </c>
      <c r="Z86" s="41">
        <v>0</v>
      </c>
      <c r="AA86" s="41">
        <v>100</v>
      </c>
      <c r="AB86" s="41">
        <v>0</v>
      </c>
      <c r="AC86" s="41">
        <v>0</v>
      </c>
      <c r="AD86" s="41">
        <v>0</v>
      </c>
      <c r="AE86" s="41">
        <v>2</v>
      </c>
      <c r="AF86" s="41">
        <v>0.5</v>
      </c>
      <c r="AG86" s="41">
        <v>3.5000000000000003E-2</v>
      </c>
      <c r="AH86" s="41">
        <v>2</v>
      </c>
      <c r="AI86" s="41">
        <v>5.1000000000000004E-3</v>
      </c>
      <c r="AJ86" s="41">
        <v>6.5024999999999999E-2</v>
      </c>
      <c r="AK86" s="53">
        <f t="shared" si="7"/>
        <v>116.51731643767657</v>
      </c>
      <c r="AL86" s="43">
        <v>3.5062500000000003E-2</v>
      </c>
      <c r="AM86" s="43">
        <f>IF(ISBLANK(AT86),AL86*'ratio of flow'!$D$1,AT86)</f>
        <v>1.7309157616009426E-2</v>
      </c>
      <c r="AN86" s="44" t="s">
        <v>52</v>
      </c>
      <c r="AO86" s="44" t="s">
        <v>53</v>
      </c>
      <c r="AP86" s="44" t="s">
        <v>53</v>
      </c>
      <c r="AQ86" s="44" t="s">
        <v>114</v>
      </c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1"/>
      <c r="BD86" s="41"/>
      <c r="BE86" s="41"/>
      <c r="BF86" s="41"/>
      <c r="BG86" s="41"/>
      <c r="BH86" s="41"/>
      <c r="BI86" s="41"/>
      <c r="BJ86" s="41"/>
      <c r="BK86" s="46">
        <f>IFERROR(VLOOKUP(AQ86,'Scoring and Weighting'!$B$10:$C$12,2,FALSE),'Scoring and Weighting'!$C$13)</f>
        <v>60</v>
      </c>
      <c r="BL86" s="46">
        <f>VLOOKUP(AM86,'Scoring and Weighting'!$C$19:$F$23,4)</f>
        <v>50</v>
      </c>
      <c r="BM86" s="47">
        <f t="shared" si="9"/>
        <v>40</v>
      </c>
      <c r="BN86" s="46">
        <f>IFERROR(VLOOKUP('Summary Table for Print'!AK86,'Scoring and Weighting'!$C$35:$F$39,4,1),30)</f>
        <v>30</v>
      </c>
      <c r="BO86" s="46">
        <f t="shared" si="8"/>
        <v>60</v>
      </c>
      <c r="BP86" s="47">
        <f>IFERROR(VLOOKUP(AN86,'Scoring and Weighting'!$B$63:$C$65,2,FALSE),1)</f>
        <v>1</v>
      </c>
      <c r="BQ86" s="49">
        <f>BK86*'Scoring and Weighting'!$C$55*'Summary Table for Print'!BP86</f>
        <v>15</v>
      </c>
      <c r="BR86" s="49">
        <f>BL86*BP86*'Scoring and Weighting'!$C$56</f>
        <v>12.5</v>
      </c>
      <c r="BS86" s="49">
        <f>BP86*BM86*'Scoring and Weighting'!$C$57</f>
        <v>10</v>
      </c>
      <c r="BT86" s="49">
        <f>BP86*BN86*'Scoring and Weighting'!$C$58</f>
        <v>3</v>
      </c>
      <c r="BU86" s="49">
        <f>BP86*BO86*'Scoring and Weighting'!$C$59</f>
        <v>9</v>
      </c>
      <c r="BV86" s="50">
        <f t="shared" si="10"/>
        <v>49.5</v>
      </c>
    </row>
    <row r="87" spans="1:74" x14ac:dyDescent="0.25">
      <c r="A87" s="41" t="s">
        <v>187</v>
      </c>
      <c r="B87" s="41"/>
      <c r="C87" s="41">
        <v>36</v>
      </c>
      <c r="D87" s="41"/>
      <c r="E87" s="41"/>
      <c r="F87" s="41">
        <v>9110</v>
      </c>
      <c r="G87" s="41" t="s">
        <v>130</v>
      </c>
      <c r="H87" s="41">
        <v>1</v>
      </c>
      <c r="I87" s="41">
        <v>0</v>
      </c>
      <c r="J87" s="41" t="str">
        <f>VLOOKUP(A87,'Table with Jurisdictions'!$A$4:$Q$129,17,0)</f>
        <v>San Juan Capistrano</v>
      </c>
      <c r="K87" s="41" t="s">
        <v>50</v>
      </c>
      <c r="L87" s="41"/>
      <c r="M87" s="41" t="s">
        <v>64</v>
      </c>
      <c r="N87" s="41">
        <v>9456.6566248229101</v>
      </c>
      <c r="O87" s="41">
        <v>1206610.6159207299</v>
      </c>
      <c r="P87" s="42">
        <v>393.00595298273799</v>
      </c>
      <c r="Q87" s="41">
        <v>30</v>
      </c>
      <c r="R87" s="41">
        <v>29</v>
      </c>
      <c r="S87" s="41">
        <v>0</v>
      </c>
      <c r="T87" s="41">
        <v>0</v>
      </c>
      <c r="U87" s="41">
        <v>0</v>
      </c>
      <c r="V87" s="41">
        <v>0</v>
      </c>
      <c r="W87" s="41">
        <v>0</v>
      </c>
      <c r="X87" s="41">
        <v>0</v>
      </c>
      <c r="Y87" s="41">
        <v>0</v>
      </c>
      <c r="Z87" s="41">
        <v>0</v>
      </c>
      <c r="AA87" s="41">
        <v>0</v>
      </c>
      <c r="AB87" s="41">
        <v>0</v>
      </c>
      <c r="AC87" s="41">
        <v>0</v>
      </c>
      <c r="AD87" s="41">
        <v>100</v>
      </c>
      <c r="AE87" s="41">
        <v>2</v>
      </c>
      <c r="AF87" s="41">
        <v>0.32500000000000001</v>
      </c>
      <c r="AG87" s="41">
        <v>1.4999999999999999E-2</v>
      </c>
      <c r="AH87" s="41">
        <v>0.66666666666666696</v>
      </c>
      <c r="AI87" s="41">
        <v>1.9124999999999999E-3</v>
      </c>
      <c r="AJ87" s="41">
        <v>2.5500000000000002E-3</v>
      </c>
      <c r="AK87" s="53">
        <f t="shared" si="7"/>
        <v>117.9017858948214</v>
      </c>
      <c r="AL87" s="43">
        <v>2.2312500000000002E-3</v>
      </c>
      <c r="AM87" s="43">
        <f>IF(ISBLANK(AT87),AL87*'ratio of flow'!$D$1,AT87)</f>
        <v>1.1014918482915089E-3</v>
      </c>
      <c r="AN87" s="44" t="s">
        <v>210</v>
      </c>
      <c r="AO87" s="44" t="s">
        <v>131</v>
      </c>
      <c r="AP87" s="44" t="s">
        <v>131</v>
      </c>
      <c r="AQ87" s="44" t="s">
        <v>114</v>
      </c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1"/>
      <c r="BD87" s="41"/>
      <c r="BE87" s="41"/>
      <c r="BF87" s="41"/>
      <c r="BG87" s="41"/>
      <c r="BH87" s="41"/>
      <c r="BI87" s="41"/>
      <c r="BJ87" s="41"/>
      <c r="BK87" s="46">
        <f>IFERROR(VLOOKUP(AQ87,'Scoring and Weighting'!$B$10:$C$12,2,FALSE),'Scoring and Weighting'!$C$13)</f>
        <v>60</v>
      </c>
      <c r="BL87" s="46">
        <f>VLOOKUP(AM87,'Scoring and Weighting'!$C$19:$F$23,4)</f>
        <v>30</v>
      </c>
      <c r="BM87" s="47">
        <f t="shared" si="9"/>
        <v>40</v>
      </c>
      <c r="BN87" s="46">
        <f>IFERROR(VLOOKUP('Summary Table for Print'!AK87,'Scoring and Weighting'!$C$35:$F$39,4,1),30)</f>
        <v>30</v>
      </c>
      <c r="BO87" s="46">
        <f t="shared" si="8"/>
        <v>60</v>
      </c>
      <c r="BP87" s="47">
        <f>IFERROR(VLOOKUP(AN87,'Scoring and Weighting'!$B$63:$C$65,2,FALSE),1)</f>
        <v>0</v>
      </c>
      <c r="BQ87" s="49">
        <f>BK87*'Scoring and Weighting'!$C$55*'Summary Table for Print'!BP87</f>
        <v>0</v>
      </c>
      <c r="BR87" s="49">
        <f>BL87*BP87*'Scoring and Weighting'!$C$56</f>
        <v>0</v>
      </c>
      <c r="BS87" s="49">
        <f>BP87*BM87*'Scoring and Weighting'!$C$57</f>
        <v>0</v>
      </c>
      <c r="BT87" s="49">
        <f>BP87*BN87*'Scoring and Weighting'!$C$58</f>
        <v>0</v>
      </c>
      <c r="BU87" s="49">
        <f>BP87*BO87*'Scoring and Weighting'!$C$59</f>
        <v>0</v>
      </c>
      <c r="BV87" s="50">
        <f t="shared" si="10"/>
        <v>0</v>
      </c>
    </row>
    <row r="88" spans="1:74" x14ac:dyDescent="0.25">
      <c r="A88" s="41" t="s">
        <v>208</v>
      </c>
      <c r="B88" s="41"/>
      <c r="C88" s="41">
        <v>48</v>
      </c>
      <c r="D88" s="41"/>
      <c r="E88" s="41"/>
      <c r="F88" s="41">
        <v>9109</v>
      </c>
      <c r="G88" s="41" t="s">
        <v>130</v>
      </c>
      <c r="H88" s="41">
        <v>1</v>
      </c>
      <c r="I88" s="41">
        <v>0</v>
      </c>
      <c r="J88" s="41" t="str">
        <f>VLOOKUP(A88,'Table with Jurisdictions'!$A$4:$Q$129,17,0)</f>
        <v>Multiple</v>
      </c>
      <c r="K88" s="41" t="s">
        <v>50</v>
      </c>
      <c r="L88" s="41"/>
      <c r="M88" s="41" t="s">
        <v>64</v>
      </c>
      <c r="N88" s="41">
        <v>12917.6178035066</v>
      </c>
      <c r="O88" s="41">
        <v>5090857.56973325</v>
      </c>
      <c r="P88" s="42">
        <v>278.33419880808901</v>
      </c>
      <c r="Q88" s="41">
        <v>89</v>
      </c>
      <c r="R88" s="41">
        <v>85</v>
      </c>
      <c r="S88" s="41">
        <v>0</v>
      </c>
      <c r="T88" s="41">
        <v>37</v>
      </c>
      <c r="U88" s="41">
        <v>0</v>
      </c>
      <c r="V88" s="41">
        <v>0</v>
      </c>
      <c r="W88" s="41">
        <v>24</v>
      </c>
      <c r="X88" s="41">
        <v>0</v>
      </c>
      <c r="Y88" s="41">
        <v>0</v>
      </c>
      <c r="Z88" s="41">
        <v>0</v>
      </c>
      <c r="AA88" s="41">
        <v>0</v>
      </c>
      <c r="AB88" s="41">
        <v>0</v>
      </c>
      <c r="AC88" s="41">
        <v>0</v>
      </c>
      <c r="AD88" s="41">
        <v>39</v>
      </c>
      <c r="AE88" s="41">
        <v>2</v>
      </c>
      <c r="AF88" s="41">
        <v>1.85</v>
      </c>
      <c r="AG88" s="41">
        <v>0.02</v>
      </c>
      <c r="AH88" s="41">
        <v>1.25</v>
      </c>
      <c r="AI88" s="41">
        <v>2.7199999999999998E-2</v>
      </c>
      <c r="AJ88" s="41">
        <v>5.355E-2</v>
      </c>
      <c r="AK88" s="53">
        <f t="shared" si="7"/>
        <v>247.71743693919922</v>
      </c>
      <c r="AL88" s="43">
        <v>4.0375000000000001E-2</v>
      </c>
      <c r="AM88" s="43">
        <f>IF(ISBLANK(AT88),AL88*'ratio of flow'!$D$1,AT88)</f>
        <v>1.9931757254798732E-2</v>
      </c>
      <c r="AN88" s="44" t="s">
        <v>210</v>
      </c>
      <c r="AO88" s="44" t="s">
        <v>211</v>
      </c>
      <c r="AP88" s="44" t="s">
        <v>211</v>
      </c>
      <c r="AQ88" s="44" t="s">
        <v>69</v>
      </c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1"/>
      <c r="BD88" s="41"/>
      <c r="BE88" s="41"/>
      <c r="BF88" s="41"/>
      <c r="BG88" s="41"/>
      <c r="BH88" s="41"/>
      <c r="BI88" s="41"/>
      <c r="BJ88" s="41"/>
      <c r="BK88" s="46">
        <f>IFERROR(VLOOKUP(AQ88,'Scoring and Weighting'!$B$10:$C$12,2,FALSE),'Scoring and Weighting'!$C$13)</f>
        <v>80</v>
      </c>
      <c r="BL88" s="46">
        <f>VLOOKUP(AM88,'Scoring and Weighting'!$C$19:$F$23,4)</f>
        <v>50</v>
      </c>
      <c r="BM88" s="47">
        <f t="shared" si="9"/>
        <v>40</v>
      </c>
      <c r="BN88" s="46">
        <f>IFERROR(VLOOKUP('Summary Table for Print'!AK88,'Scoring and Weighting'!$C$35:$F$39,4,1),30)</f>
        <v>70</v>
      </c>
      <c r="BO88" s="46">
        <f t="shared" si="8"/>
        <v>60</v>
      </c>
      <c r="BP88" s="47">
        <f>IFERROR(VLOOKUP(AN88,'Scoring and Weighting'!$B$63:$C$65,2,FALSE),1)</f>
        <v>0</v>
      </c>
      <c r="BQ88" s="49">
        <f>BK88*'Scoring and Weighting'!$C$55*'Summary Table for Print'!BP88</f>
        <v>0</v>
      </c>
      <c r="BR88" s="49">
        <f>BL88*BP88*'Scoring and Weighting'!$C$56</f>
        <v>0</v>
      </c>
      <c r="BS88" s="49">
        <f>BP88*BM88*'Scoring and Weighting'!$C$57</f>
        <v>0</v>
      </c>
      <c r="BT88" s="49">
        <f>BP88*BN88*'Scoring and Weighting'!$C$58</f>
        <v>0</v>
      </c>
      <c r="BU88" s="49">
        <f>BP88*BO88*'Scoring and Weighting'!$C$59</f>
        <v>0</v>
      </c>
      <c r="BV88" s="50">
        <f t="shared" si="10"/>
        <v>0</v>
      </c>
    </row>
    <row r="89" spans="1:74" x14ac:dyDescent="0.25">
      <c r="A89" s="41" t="s">
        <v>136</v>
      </c>
      <c r="B89" s="41" t="s">
        <v>235</v>
      </c>
      <c r="C89" s="41">
        <v>60</v>
      </c>
      <c r="D89" s="41"/>
      <c r="E89" s="41"/>
      <c r="F89" s="41">
        <v>74</v>
      </c>
      <c r="G89" s="41" t="s">
        <v>109</v>
      </c>
      <c r="H89" s="41">
        <v>1</v>
      </c>
      <c r="I89" s="41">
        <v>0</v>
      </c>
      <c r="J89" s="41" t="str">
        <f>VLOOKUP(A89,'Table with Jurisdictions'!$A$4:$Q$129,17,0)</f>
        <v>Dana Point</v>
      </c>
      <c r="K89" s="41" t="s">
        <v>50</v>
      </c>
      <c r="L89" s="41"/>
      <c r="M89" s="41" t="s">
        <v>64</v>
      </c>
      <c r="N89" s="41">
        <v>17753.712598411701</v>
      </c>
      <c r="O89" s="41">
        <v>7477748.5663118698</v>
      </c>
      <c r="P89" s="42">
        <v>431.607860052825</v>
      </c>
      <c r="Q89" s="41">
        <v>84</v>
      </c>
      <c r="R89" s="41">
        <v>81</v>
      </c>
      <c r="S89" s="41">
        <v>0</v>
      </c>
      <c r="T89" s="41">
        <v>99</v>
      </c>
      <c r="U89" s="41">
        <v>0</v>
      </c>
      <c r="V89" s="41">
        <v>0</v>
      </c>
      <c r="W89" s="41">
        <v>1</v>
      </c>
      <c r="X89" s="41">
        <v>0</v>
      </c>
      <c r="Y89" s="41">
        <v>0</v>
      </c>
      <c r="Z89" s="41">
        <v>0</v>
      </c>
      <c r="AA89" s="41">
        <v>0</v>
      </c>
      <c r="AB89" s="41">
        <v>0</v>
      </c>
      <c r="AC89" s="41">
        <v>0</v>
      </c>
      <c r="AD89" s="41">
        <v>0</v>
      </c>
      <c r="AE89" s="41">
        <v>1</v>
      </c>
      <c r="AF89" s="41">
        <v>1.3</v>
      </c>
      <c r="AG89" s="41">
        <v>7.0000000000000007E-2</v>
      </c>
      <c r="AH89" s="41">
        <v>1.1320754716981101</v>
      </c>
      <c r="AI89" s="41">
        <v>8.7566037735849006E-2</v>
      </c>
      <c r="AJ89" s="41">
        <v>8.7566037735849006E-2</v>
      </c>
      <c r="AK89" s="53">
        <f t="shared" si="7"/>
        <v>362.550602444373</v>
      </c>
      <c r="AL89" s="43">
        <v>8.7566037735849006E-2</v>
      </c>
      <c r="AM89" s="43">
        <f>IF(ISBLANK(AT89),AL89*'ratio of flow'!$D$1,AT89)</f>
        <v>4.3228359329176166E-2</v>
      </c>
      <c r="AN89" s="44"/>
      <c r="AO89" s="44"/>
      <c r="AP89" s="44"/>
      <c r="AQ89" s="44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1"/>
      <c r="BD89" s="41"/>
      <c r="BE89" s="41"/>
      <c r="BF89" s="41"/>
      <c r="BG89" s="41"/>
      <c r="BH89" s="41"/>
      <c r="BI89" s="41"/>
      <c r="BJ89" s="41"/>
      <c r="BK89" s="46">
        <f>IFERROR(VLOOKUP(AQ89,'Scoring and Weighting'!$B$10:$C$12,2,FALSE),'Scoring and Weighting'!$C$13)</f>
        <v>70</v>
      </c>
      <c r="BL89" s="46">
        <f>VLOOKUP(AM89,'Scoring and Weighting'!$C$19:$F$23,4)</f>
        <v>50</v>
      </c>
      <c r="BM89" s="47">
        <f t="shared" si="9"/>
        <v>40</v>
      </c>
      <c r="BN89" s="46">
        <f>IFERROR(VLOOKUP('Summary Table for Print'!AK89,'Scoring and Weighting'!$C$35:$F$39,4,1),30)</f>
        <v>90</v>
      </c>
      <c r="BO89" s="46">
        <f t="shared" si="8"/>
        <v>20</v>
      </c>
      <c r="BP89" s="47">
        <f>IFERROR(VLOOKUP(AN89,'Scoring and Weighting'!$B$63:$C$65,2,FALSE),1)</f>
        <v>1</v>
      </c>
      <c r="BQ89" s="49">
        <f>BK89*'Scoring and Weighting'!$C$55*'Summary Table for Print'!BP89</f>
        <v>17.5</v>
      </c>
      <c r="BR89" s="49">
        <f>BL89*BP89*'Scoring and Weighting'!$C$56</f>
        <v>12.5</v>
      </c>
      <c r="BS89" s="49">
        <f>BP89*BM89*'Scoring and Weighting'!$C$57</f>
        <v>10</v>
      </c>
      <c r="BT89" s="49">
        <f>BP89*BN89*'Scoring and Weighting'!$C$58</f>
        <v>9</v>
      </c>
      <c r="BU89" s="49">
        <f>BP89*BO89*'Scoring and Weighting'!$C$59</f>
        <v>3</v>
      </c>
      <c r="BV89" s="50">
        <f t="shared" si="10"/>
        <v>52</v>
      </c>
    </row>
    <row r="90" spans="1:74" x14ac:dyDescent="0.25">
      <c r="A90" s="41" t="s">
        <v>206</v>
      </c>
      <c r="B90" s="41"/>
      <c r="C90" s="41">
        <v>36</v>
      </c>
      <c r="D90" s="41"/>
      <c r="E90" s="41"/>
      <c r="F90" s="41">
        <v>172</v>
      </c>
      <c r="G90" s="41" t="s">
        <v>109</v>
      </c>
      <c r="H90" s="41">
        <v>1</v>
      </c>
      <c r="I90" s="41">
        <v>0</v>
      </c>
      <c r="J90" s="41" t="str">
        <f>VLOOKUP(A90,'Table with Jurisdictions'!$A$4:$Q$129,17,0)</f>
        <v>Multiple</v>
      </c>
      <c r="K90" s="41" t="s">
        <v>50</v>
      </c>
      <c r="L90" s="41"/>
      <c r="M90" s="41" t="s">
        <v>64</v>
      </c>
      <c r="N90" s="41">
        <v>7479.0008529110301</v>
      </c>
      <c r="O90" s="41">
        <v>2114445.7166269901</v>
      </c>
      <c r="P90" s="42">
        <v>1039.8809776061901</v>
      </c>
      <c r="Q90" s="41">
        <v>43</v>
      </c>
      <c r="R90" s="41">
        <v>28</v>
      </c>
      <c r="S90" s="41">
        <v>0</v>
      </c>
      <c r="T90" s="41">
        <v>11</v>
      </c>
      <c r="U90" s="41">
        <v>0</v>
      </c>
      <c r="V90" s="41">
        <v>0</v>
      </c>
      <c r="W90" s="41">
        <v>0</v>
      </c>
      <c r="X90" s="41">
        <v>0</v>
      </c>
      <c r="Y90" s="41">
        <v>0</v>
      </c>
      <c r="Z90" s="41">
        <v>0</v>
      </c>
      <c r="AA90" s="41">
        <v>0</v>
      </c>
      <c r="AB90" s="41">
        <v>0</v>
      </c>
      <c r="AC90" s="41">
        <v>0</v>
      </c>
      <c r="AD90" s="41">
        <v>89</v>
      </c>
      <c r="AE90" s="41">
        <v>1</v>
      </c>
      <c r="AF90" s="41">
        <v>2</v>
      </c>
      <c r="AG90" s="41">
        <v>0.12</v>
      </c>
      <c r="AH90" s="41">
        <v>0.5</v>
      </c>
      <c r="AI90" s="41">
        <v>0.10199999999999999</v>
      </c>
      <c r="AJ90" s="41">
        <v>0.10199999999999999</v>
      </c>
      <c r="AK90" s="53">
        <f t="shared" si="7"/>
        <v>447.14882037066172</v>
      </c>
      <c r="AL90" s="43">
        <v>0.10199999999999999</v>
      </c>
      <c r="AM90" s="43">
        <f>IF(ISBLANK(AT90),AL90*'ratio of flow'!$D$1,AT90)</f>
        <v>5.0353913064754681E-2</v>
      </c>
      <c r="AN90" s="44"/>
      <c r="AO90" s="44"/>
      <c r="AP90" s="44"/>
      <c r="AQ90" s="44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1"/>
      <c r="BD90" s="41"/>
      <c r="BE90" s="41"/>
      <c r="BF90" s="41"/>
      <c r="BG90" s="41"/>
      <c r="BH90" s="41"/>
      <c r="BI90" s="41"/>
      <c r="BJ90" s="41"/>
      <c r="BK90" s="46">
        <f>IFERROR(VLOOKUP(AQ90,'Scoring and Weighting'!$B$10:$C$12,2,FALSE),'Scoring and Weighting'!$C$13)</f>
        <v>70</v>
      </c>
      <c r="BL90" s="46">
        <f>VLOOKUP(AM90,'Scoring and Weighting'!$C$19:$F$23,4)</f>
        <v>70</v>
      </c>
      <c r="BM90" s="47">
        <f t="shared" si="9"/>
        <v>40</v>
      </c>
      <c r="BN90" s="46">
        <f>IFERROR(VLOOKUP('Summary Table for Print'!AK90,'Scoring and Weighting'!$C$35:$F$39,4,1),30)</f>
        <v>90</v>
      </c>
      <c r="BO90" s="46">
        <f t="shared" si="8"/>
        <v>20</v>
      </c>
      <c r="BP90" s="47">
        <f>IFERROR(VLOOKUP(AN90,'Scoring and Weighting'!$B$63:$C$65,2,FALSE),1)</f>
        <v>1</v>
      </c>
      <c r="BQ90" s="49">
        <f>BK90*'Scoring and Weighting'!$C$55*'Summary Table for Print'!BP90</f>
        <v>17.5</v>
      </c>
      <c r="BR90" s="49">
        <f>BL90*BP90*'Scoring and Weighting'!$C$56</f>
        <v>17.5</v>
      </c>
      <c r="BS90" s="49">
        <f>BP90*BM90*'Scoring and Weighting'!$C$57</f>
        <v>10</v>
      </c>
      <c r="BT90" s="49">
        <f>BP90*BN90*'Scoring and Weighting'!$C$58</f>
        <v>9</v>
      </c>
      <c r="BU90" s="49">
        <f>BP90*BO90*'Scoring and Weighting'!$C$59</f>
        <v>3</v>
      </c>
      <c r="BV90" s="50">
        <f t="shared" si="10"/>
        <v>57</v>
      </c>
    </row>
    <row r="91" spans="1:74" x14ac:dyDescent="0.25">
      <c r="A91" s="41" t="s">
        <v>146</v>
      </c>
      <c r="B91" s="41" t="s">
        <v>238</v>
      </c>
      <c r="C91" s="41">
        <v>66</v>
      </c>
      <c r="D91" s="41"/>
      <c r="E91" s="41"/>
      <c r="F91" s="41">
        <v>142</v>
      </c>
      <c r="G91" s="41" t="s">
        <v>109</v>
      </c>
      <c r="H91" s="41">
        <v>1</v>
      </c>
      <c r="I91" s="41">
        <v>0</v>
      </c>
      <c r="J91" s="41" t="str">
        <f>VLOOKUP(A91,'Table with Jurisdictions'!$A$4:$Q$129,17,0)</f>
        <v>Dana Point</v>
      </c>
      <c r="K91" s="41" t="s">
        <v>50</v>
      </c>
      <c r="L91" s="41"/>
      <c r="M91" s="41" t="s">
        <v>64</v>
      </c>
      <c r="N91" s="41">
        <v>15886.523266402601</v>
      </c>
      <c r="O91" s="41">
        <v>11135154.397989601</v>
      </c>
      <c r="P91" s="42">
        <v>24.723724984385399</v>
      </c>
      <c r="Q91" s="41">
        <v>63</v>
      </c>
      <c r="R91" s="41">
        <v>63</v>
      </c>
      <c r="S91" s="41">
        <v>0</v>
      </c>
      <c r="T91" s="41">
        <v>100</v>
      </c>
      <c r="U91" s="41">
        <v>0</v>
      </c>
      <c r="V91" s="41">
        <v>0</v>
      </c>
      <c r="W91" s="41">
        <v>0</v>
      </c>
      <c r="X91" s="41">
        <v>0</v>
      </c>
      <c r="Y91" s="41">
        <v>0</v>
      </c>
      <c r="Z91" s="41">
        <v>0</v>
      </c>
      <c r="AA91" s="41">
        <v>0</v>
      </c>
      <c r="AB91" s="41">
        <v>0</v>
      </c>
      <c r="AC91" s="41">
        <v>0</v>
      </c>
      <c r="AD91" s="41">
        <v>0</v>
      </c>
      <c r="AE91" s="41">
        <v>3</v>
      </c>
      <c r="AF91" s="41">
        <v>0.76666666666666705</v>
      </c>
      <c r="AG91" s="41">
        <v>1.8333333333333E-2</v>
      </c>
      <c r="AH91" s="41">
        <v>0.365079365079365</v>
      </c>
      <c r="AI91" s="41">
        <v>2.3678571428569998E-3</v>
      </c>
      <c r="AJ91" s="41">
        <v>5.1000000000000004E-3</v>
      </c>
      <c r="AK91" s="53">
        <f t="shared" si="7"/>
        <v>15.5759467401628</v>
      </c>
      <c r="AL91" s="43">
        <v>3.4455357142860001E-3</v>
      </c>
      <c r="AM91" s="43">
        <f>IF(ISBLANK(AT91),AL91*'ratio of flow'!$D$1,AT91)</f>
        <v>1.7009431943006343E-3</v>
      </c>
      <c r="AN91" s="44"/>
      <c r="AO91" s="44"/>
      <c r="AP91" s="44"/>
      <c r="AQ91" s="44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1"/>
      <c r="BD91" s="41"/>
      <c r="BE91" s="41"/>
      <c r="BF91" s="41"/>
      <c r="BG91" s="41"/>
      <c r="BH91" s="41"/>
      <c r="BI91" s="41"/>
      <c r="BJ91" s="41"/>
      <c r="BK91" s="46">
        <f>IFERROR(VLOOKUP(AQ91,'Scoring and Weighting'!$B$10:$C$12,2,FALSE),'Scoring and Weighting'!$C$13)</f>
        <v>70</v>
      </c>
      <c r="BL91" s="46">
        <f>VLOOKUP(AM91,'Scoring and Weighting'!$C$19:$F$23,4)</f>
        <v>30</v>
      </c>
      <c r="BM91" s="47">
        <f t="shared" si="9"/>
        <v>40</v>
      </c>
      <c r="BN91" s="46">
        <f>IFERROR(VLOOKUP('Summary Table for Print'!AK91,'Scoring and Weighting'!$C$35:$F$39,4,1),30)</f>
        <v>30</v>
      </c>
      <c r="BO91" s="46">
        <f t="shared" si="8"/>
        <v>40</v>
      </c>
      <c r="BP91" s="47">
        <f>IFERROR(VLOOKUP(AN91,'Scoring and Weighting'!$B$63:$C$65,2,FALSE),1)</f>
        <v>1</v>
      </c>
      <c r="BQ91" s="49">
        <f>BK91*'Scoring and Weighting'!$C$55*'Summary Table for Print'!BP91</f>
        <v>17.5</v>
      </c>
      <c r="BR91" s="49">
        <f>BL91*BP91*'Scoring and Weighting'!$C$56</f>
        <v>7.5</v>
      </c>
      <c r="BS91" s="49">
        <f>BP91*BM91*'Scoring and Weighting'!$C$57</f>
        <v>10</v>
      </c>
      <c r="BT91" s="49">
        <f>BP91*BN91*'Scoring and Weighting'!$C$58</f>
        <v>3</v>
      </c>
      <c r="BU91" s="49">
        <f>BP91*BO91*'Scoring and Weighting'!$C$59</f>
        <v>6</v>
      </c>
      <c r="BV91" s="50">
        <f t="shared" si="10"/>
        <v>44</v>
      </c>
    </row>
    <row r="92" spans="1:74" x14ac:dyDescent="0.25">
      <c r="A92" s="41" t="s">
        <v>247</v>
      </c>
      <c r="B92" s="41"/>
      <c r="C92" s="41">
        <v>108</v>
      </c>
      <c r="D92" s="41"/>
      <c r="E92" s="41"/>
      <c r="F92" s="41">
        <v>49</v>
      </c>
      <c r="G92" s="41" t="s">
        <v>240</v>
      </c>
      <c r="H92" s="41">
        <v>1</v>
      </c>
      <c r="I92" s="41">
        <v>0</v>
      </c>
      <c r="J92" s="41" t="str">
        <f>VLOOKUP(A92,'Table with Jurisdictions'!$A$4:$Q$129,17,0)</f>
        <v>Multiple</v>
      </c>
      <c r="K92" s="41" t="s">
        <v>50</v>
      </c>
      <c r="L92" s="41"/>
      <c r="M92" s="41" t="s">
        <v>64</v>
      </c>
      <c r="N92" s="41">
        <v>31850.440001343199</v>
      </c>
      <c r="O92" s="41">
        <v>22541068.0909831</v>
      </c>
      <c r="P92" s="42">
        <v>32.582389432164099</v>
      </c>
      <c r="Q92" s="41">
        <v>17</v>
      </c>
      <c r="R92" s="41">
        <v>17</v>
      </c>
      <c r="S92" s="41">
        <v>0</v>
      </c>
      <c r="T92" s="41">
        <v>0</v>
      </c>
      <c r="U92" s="41">
        <v>0</v>
      </c>
      <c r="V92" s="41">
        <v>0</v>
      </c>
      <c r="W92" s="41">
        <v>0</v>
      </c>
      <c r="X92" s="41">
        <v>0</v>
      </c>
      <c r="Y92" s="41">
        <v>0</v>
      </c>
      <c r="Z92" s="41">
        <v>0</v>
      </c>
      <c r="AA92" s="41">
        <v>13</v>
      </c>
      <c r="AB92" s="41">
        <v>87</v>
      </c>
      <c r="AC92" s="41">
        <v>0</v>
      </c>
      <c r="AD92" s="41">
        <v>0</v>
      </c>
      <c r="AE92" s="41">
        <v>1</v>
      </c>
      <c r="AF92" s="41">
        <v>0.2</v>
      </c>
      <c r="AG92" s="41">
        <v>0.1</v>
      </c>
      <c r="AH92" s="41">
        <v>1</v>
      </c>
      <c r="AI92" s="41">
        <v>1.7000000000000001E-2</v>
      </c>
      <c r="AJ92" s="41">
        <v>1.7000000000000001E-2</v>
      </c>
      <c r="AK92" s="53">
        <f t="shared" si="7"/>
        <v>5.5390062034678964</v>
      </c>
      <c r="AL92" s="43">
        <v>1.7000000000000001E-2</v>
      </c>
      <c r="AM92" s="43">
        <f>IF(ISBLANK(AT92),AL92*'ratio of flow'!$D$1,AT92)</f>
        <v>8.3923188441257825E-3</v>
      </c>
      <c r="AN92" s="44"/>
      <c r="AO92" s="44"/>
      <c r="AP92" s="44"/>
      <c r="AQ92" s="44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1"/>
      <c r="BD92" s="41"/>
      <c r="BE92" s="41"/>
      <c r="BF92" s="41"/>
      <c r="BG92" s="41"/>
      <c r="BH92" s="41"/>
      <c r="BI92" s="41"/>
      <c r="BJ92" s="41"/>
      <c r="BK92" s="46">
        <f>IFERROR(VLOOKUP(AQ92,'Scoring and Weighting'!$B$10:$C$12,2,FALSE),'Scoring and Weighting'!$C$13)</f>
        <v>70</v>
      </c>
      <c r="BL92" s="46">
        <f>VLOOKUP(AM92,'Scoring and Weighting'!$C$19:$F$23,4)</f>
        <v>30</v>
      </c>
      <c r="BM92" s="47">
        <f t="shared" si="9"/>
        <v>40</v>
      </c>
      <c r="BN92" s="46">
        <f>IFERROR(VLOOKUP('Summary Table for Print'!AK92,'Scoring and Weighting'!$C$35:$F$39,4,1),30)</f>
        <v>30</v>
      </c>
      <c r="BO92" s="46">
        <f t="shared" si="8"/>
        <v>20</v>
      </c>
      <c r="BP92" s="47">
        <f>IFERROR(VLOOKUP(AN92,'Scoring and Weighting'!$B$63:$C$65,2,FALSE),1)</f>
        <v>1</v>
      </c>
      <c r="BQ92" s="49">
        <f>BK92*'Scoring and Weighting'!$C$55*'Summary Table for Print'!BP92</f>
        <v>17.5</v>
      </c>
      <c r="BR92" s="49">
        <f>BL92*BP92*'Scoring and Weighting'!$C$56</f>
        <v>7.5</v>
      </c>
      <c r="BS92" s="49">
        <f>BP92*BM92*'Scoring and Weighting'!$C$57</f>
        <v>10</v>
      </c>
      <c r="BT92" s="49">
        <f>BP92*BN92*'Scoring and Weighting'!$C$58</f>
        <v>3</v>
      </c>
      <c r="BU92" s="49">
        <f>BP92*BO92*'Scoring and Weighting'!$C$59</f>
        <v>3</v>
      </c>
      <c r="BV92" s="50">
        <f t="shared" si="10"/>
        <v>41</v>
      </c>
    </row>
    <row r="93" spans="1:74" x14ac:dyDescent="0.25">
      <c r="A93" s="41" t="s">
        <v>217</v>
      </c>
      <c r="B93" s="41"/>
      <c r="C93" s="41">
        <v>90</v>
      </c>
      <c r="D93" s="41"/>
      <c r="E93" s="41"/>
      <c r="F93" s="41">
        <v>340</v>
      </c>
      <c r="G93" s="41" t="s">
        <v>95</v>
      </c>
      <c r="H93" s="41">
        <v>1</v>
      </c>
      <c r="I93" s="41">
        <v>0</v>
      </c>
      <c r="J93" s="41" t="str">
        <f>VLOOKUP(A93,'Table with Jurisdictions'!$A$4:$Q$129,17,0)</f>
        <v>Rancho Santa Margarita</v>
      </c>
      <c r="K93" s="41" t="s">
        <v>50</v>
      </c>
      <c r="L93" s="41"/>
      <c r="M93" s="41" t="s">
        <v>64</v>
      </c>
      <c r="N93" s="41">
        <v>14406.755887253101</v>
      </c>
      <c r="O93" s="41">
        <v>7382165.0242005</v>
      </c>
      <c r="P93" s="42">
        <v>54.777602136512598</v>
      </c>
      <c r="Q93" s="41">
        <v>0</v>
      </c>
      <c r="R93" s="41">
        <v>0</v>
      </c>
      <c r="S93" s="41">
        <v>0</v>
      </c>
      <c r="T93" s="41">
        <v>0</v>
      </c>
      <c r="U93" s="41">
        <v>0</v>
      </c>
      <c r="V93" s="41">
        <v>0</v>
      </c>
      <c r="W93" s="41">
        <v>0</v>
      </c>
      <c r="X93" s="41">
        <v>0</v>
      </c>
      <c r="Y93" s="41">
        <v>0</v>
      </c>
      <c r="Z93" s="41">
        <v>0</v>
      </c>
      <c r="AA93" s="41">
        <v>0</v>
      </c>
      <c r="AB93" s="41">
        <v>100</v>
      </c>
      <c r="AC93" s="41">
        <v>0</v>
      </c>
      <c r="AD93" s="41">
        <v>0</v>
      </c>
      <c r="AE93" s="41">
        <v>1</v>
      </c>
      <c r="AF93" s="41">
        <v>1</v>
      </c>
      <c r="AG93" s="41">
        <v>0.1</v>
      </c>
      <c r="AH93" s="41">
        <v>1</v>
      </c>
      <c r="AI93" s="41">
        <v>8.5000000000000006E-2</v>
      </c>
      <c r="AJ93" s="41">
        <v>8.5000000000000006E-2</v>
      </c>
      <c r="AK93" s="53">
        <f t="shared" si="7"/>
        <v>0</v>
      </c>
      <c r="AL93" s="43">
        <v>8.5000000000000006E-2</v>
      </c>
      <c r="AM93" s="43">
        <f>IF(ISBLANK(AT93),AL93*'ratio of flow'!$D$1,AT93)</f>
        <v>4.1961594220628909E-2</v>
      </c>
      <c r="AN93" s="44"/>
      <c r="AO93" s="44"/>
      <c r="AP93" s="44"/>
      <c r="AQ93" s="44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1"/>
      <c r="BD93" s="41"/>
      <c r="BE93" s="41"/>
      <c r="BF93" s="41"/>
      <c r="BG93" s="41"/>
      <c r="BH93" s="41"/>
      <c r="BI93" s="41"/>
      <c r="BJ93" s="41"/>
      <c r="BK93" s="46">
        <f>IFERROR(VLOOKUP(AQ93,'Scoring and Weighting'!$B$10:$C$12,2,FALSE),'Scoring and Weighting'!$C$13)</f>
        <v>70</v>
      </c>
      <c r="BL93" s="46">
        <f>VLOOKUP(AM93,'Scoring and Weighting'!$C$19:$F$23,4)</f>
        <v>50</v>
      </c>
      <c r="BM93" s="47">
        <f t="shared" si="9"/>
        <v>40</v>
      </c>
      <c r="BN93" s="46">
        <f>IFERROR(VLOOKUP('Summary Table for Print'!AK93,'Scoring and Weighting'!$C$35:$F$39,4,1),30)</f>
        <v>30</v>
      </c>
      <c r="BO93" s="46">
        <f t="shared" si="8"/>
        <v>20</v>
      </c>
      <c r="BP93" s="47">
        <f>IFERROR(VLOOKUP(AN93,'Scoring and Weighting'!$B$63:$C$65,2,FALSE),1)</f>
        <v>1</v>
      </c>
      <c r="BQ93" s="49">
        <f>BK93*'Scoring and Weighting'!$C$55*'Summary Table for Print'!BP93</f>
        <v>17.5</v>
      </c>
      <c r="BR93" s="49">
        <f>BL93*BP93*'Scoring and Weighting'!$C$56</f>
        <v>12.5</v>
      </c>
      <c r="BS93" s="49">
        <f>BP93*BM93*'Scoring and Weighting'!$C$57</f>
        <v>10</v>
      </c>
      <c r="BT93" s="49">
        <f>BP93*BN93*'Scoring and Weighting'!$C$58</f>
        <v>3</v>
      </c>
      <c r="BU93" s="49">
        <f>BP93*BO93*'Scoring and Weighting'!$C$59</f>
        <v>3</v>
      </c>
      <c r="BV93" s="50">
        <f t="shared" si="10"/>
        <v>46</v>
      </c>
    </row>
    <row r="94" spans="1:74" x14ac:dyDescent="0.25">
      <c r="A94" s="41" t="s">
        <v>244</v>
      </c>
      <c r="B94" s="41"/>
      <c r="C94" s="41">
        <v>18</v>
      </c>
      <c r="D94" s="41"/>
      <c r="E94" s="41"/>
      <c r="F94" s="41">
        <v>68</v>
      </c>
      <c r="G94" s="41" t="s">
        <v>178</v>
      </c>
      <c r="H94" s="41">
        <v>1</v>
      </c>
      <c r="I94" s="41">
        <v>0</v>
      </c>
      <c r="J94" s="41" t="str">
        <f>VLOOKUP(A94,'Table with Jurisdictions'!$A$4:$Q$129,17,0)</f>
        <v>Multiple</v>
      </c>
      <c r="K94" s="41" t="s">
        <v>50</v>
      </c>
      <c r="L94" s="41"/>
      <c r="M94" s="41" t="s">
        <v>64</v>
      </c>
      <c r="N94" s="41">
        <v>3355.4849516905001</v>
      </c>
      <c r="O94" s="41">
        <v>433734.23055625003</v>
      </c>
      <c r="P94" s="42">
        <v>240.61672040516899</v>
      </c>
      <c r="Q94" s="41">
        <v>33</v>
      </c>
      <c r="R94" s="41">
        <v>29</v>
      </c>
      <c r="S94" s="41">
        <v>0</v>
      </c>
      <c r="T94" s="41">
        <v>0</v>
      </c>
      <c r="U94" s="41">
        <v>0</v>
      </c>
      <c r="V94" s="41">
        <v>0</v>
      </c>
      <c r="W94" s="41">
        <v>0</v>
      </c>
      <c r="X94" s="41">
        <v>0</v>
      </c>
      <c r="Y94" s="41">
        <v>0</v>
      </c>
      <c r="Z94" s="41">
        <v>0</v>
      </c>
      <c r="AA94" s="41">
        <v>18</v>
      </c>
      <c r="AB94" s="41">
        <v>0</v>
      </c>
      <c r="AC94" s="41">
        <v>0</v>
      </c>
      <c r="AD94" s="41">
        <v>82</v>
      </c>
      <c r="AE94" s="41">
        <v>2</v>
      </c>
      <c r="AF94" s="41">
        <v>0.81</v>
      </c>
      <c r="AG94" s="41">
        <v>0.02</v>
      </c>
      <c r="AH94" s="41">
        <v>0.58333333333333304</v>
      </c>
      <c r="AI94" s="41">
        <v>4.2500000000000003E-3</v>
      </c>
      <c r="AJ94" s="41">
        <v>4.7600000000000003E-3</v>
      </c>
      <c r="AK94" s="53">
        <f t="shared" si="7"/>
        <v>79.403517733705769</v>
      </c>
      <c r="AL94" s="43">
        <v>4.5050000000000003E-3</v>
      </c>
      <c r="AM94" s="43">
        <f>IF(ISBLANK(AT94),AL94*'ratio of flow'!$D$1,AT94)</f>
        <v>2.223964493693332E-3</v>
      </c>
      <c r="AN94" s="44"/>
      <c r="AO94" s="44" t="s">
        <v>131</v>
      </c>
      <c r="AP94" s="44" t="s">
        <v>131</v>
      </c>
      <c r="AQ94" s="44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1"/>
      <c r="BD94" s="41"/>
      <c r="BE94" s="41"/>
      <c r="BF94" s="41"/>
      <c r="BG94" s="41"/>
      <c r="BH94" s="41"/>
      <c r="BI94" s="41"/>
      <c r="BJ94" s="41"/>
      <c r="BK94" s="46">
        <f>IFERROR(VLOOKUP(AQ94,'Scoring and Weighting'!$B$10:$C$12,2,FALSE),'Scoring and Weighting'!$C$13)</f>
        <v>70</v>
      </c>
      <c r="BL94" s="46">
        <f>VLOOKUP(AM94,'Scoring and Weighting'!$C$19:$F$23,4)</f>
        <v>30</v>
      </c>
      <c r="BM94" s="47">
        <f t="shared" si="9"/>
        <v>40</v>
      </c>
      <c r="BN94" s="46">
        <f>IFERROR(VLOOKUP('Summary Table for Print'!AK94,'Scoring and Weighting'!$C$35:$F$39,4,1),30)</f>
        <v>30</v>
      </c>
      <c r="BO94" s="46">
        <f t="shared" si="8"/>
        <v>40</v>
      </c>
      <c r="BP94" s="47">
        <f>IFERROR(VLOOKUP(AN94,'Scoring and Weighting'!$B$63:$C$65,2,FALSE),1)</f>
        <v>1</v>
      </c>
      <c r="BQ94" s="49">
        <f>BK94*'Scoring and Weighting'!$C$55*'Summary Table for Print'!BP94</f>
        <v>17.5</v>
      </c>
      <c r="BR94" s="49">
        <f>BL94*BP94*'Scoring and Weighting'!$C$56</f>
        <v>7.5</v>
      </c>
      <c r="BS94" s="49">
        <f>BP94*BM94*'Scoring and Weighting'!$C$57</f>
        <v>10</v>
      </c>
      <c r="BT94" s="49">
        <f>BP94*BN94*'Scoring and Weighting'!$C$58</f>
        <v>3</v>
      </c>
      <c r="BU94" s="49">
        <f>BP94*BO94*'Scoring and Weighting'!$C$59</f>
        <v>6</v>
      </c>
      <c r="BV94" s="50">
        <f t="shared" si="10"/>
        <v>44</v>
      </c>
    </row>
    <row r="95" spans="1:74" x14ac:dyDescent="0.25">
      <c r="A95" s="41" t="s">
        <v>186</v>
      </c>
      <c r="B95" s="41" t="s">
        <v>243</v>
      </c>
      <c r="C95" s="41">
        <v>48</v>
      </c>
      <c r="D95" s="41"/>
      <c r="E95" s="41"/>
      <c r="F95" s="41">
        <v>50</v>
      </c>
      <c r="G95" s="41" t="s">
        <v>185</v>
      </c>
      <c r="H95" s="41">
        <v>1</v>
      </c>
      <c r="I95" s="41">
        <v>0</v>
      </c>
      <c r="J95" s="41" t="str">
        <f>VLOOKUP(A95,'Table with Jurisdictions'!$A$4:$Q$129,17,0)</f>
        <v>San Juan Capistrano</v>
      </c>
      <c r="K95" s="41" t="s">
        <v>50</v>
      </c>
      <c r="L95" s="41"/>
      <c r="M95" s="41" t="s">
        <v>64</v>
      </c>
      <c r="N95" s="41">
        <v>76568.424565666603</v>
      </c>
      <c r="O95" s="41">
        <v>162612822.60543501</v>
      </c>
      <c r="P95" s="42">
        <v>105.665477920504</v>
      </c>
      <c r="Q95" s="41">
        <v>78</v>
      </c>
      <c r="R95" s="41">
        <v>78</v>
      </c>
      <c r="S95" s="41">
        <v>0</v>
      </c>
      <c r="T95" s="41">
        <v>0</v>
      </c>
      <c r="U95" s="41">
        <v>0</v>
      </c>
      <c r="V95" s="41">
        <v>0</v>
      </c>
      <c r="W95" s="41">
        <v>0</v>
      </c>
      <c r="X95" s="41">
        <v>0</v>
      </c>
      <c r="Y95" s="41">
        <v>0</v>
      </c>
      <c r="Z95" s="41">
        <v>0</v>
      </c>
      <c r="AA95" s="41">
        <v>0</v>
      </c>
      <c r="AB95" s="41">
        <v>0</v>
      </c>
      <c r="AC95" s="41">
        <v>0</v>
      </c>
      <c r="AD95" s="41">
        <v>100</v>
      </c>
      <c r="AE95" s="41">
        <v>1</v>
      </c>
      <c r="AF95" s="41">
        <v>1.1499999999999999</v>
      </c>
      <c r="AG95" s="41">
        <v>0.06</v>
      </c>
      <c r="AH95" s="41">
        <v>0.28571428571428598</v>
      </c>
      <c r="AI95" s="41">
        <v>1.6757142857143002E-2</v>
      </c>
      <c r="AJ95" s="41">
        <v>1.6757142857143002E-2</v>
      </c>
      <c r="AK95" s="53">
        <f t="shared" si="7"/>
        <v>82.419072777993108</v>
      </c>
      <c r="AL95" s="43">
        <v>1.6757142857143002E-2</v>
      </c>
      <c r="AM95" s="43">
        <f>IF(ISBLANK(AT95),AL95*'ratio of flow'!$D$1,AT95)</f>
        <v>8.2724285749240564E-3</v>
      </c>
      <c r="AN95" s="44"/>
      <c r="AO95" s="44"/>
      <c r="AP95" s="44"/>
      <c r="AQ95" s="44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1"/>
      <c r="BD95" s="41"/>
      <c r="BE95" s="41"/>
      <c r="BF95" s="41"/>
      <c r="BG95" s="41"/>
      <c r="BH95" s="41"/>
      <c r="BI95" s="41"/>
      <c r="BJ95" s="41"/>
      <c r="BK95" s="46">
        <f>IFERROR(VLOOKUP(AQ95,'Scoring and Weighting'!$B$10:$C$12,2,FALSE),'Scoring and Weighting'!$C$13)</f>
        <v>70</v>
      </c>
      <c r="BL95" s="46">
        <f>VLOOKUP(AM95,'Scoring and Weighting'!$C$19:$F$23,4)</f>
        <v>30</v>
      </c>
      <c r="BM95" s="47">
        <f t="shared" si="9"/>
        <v>40</v>
      </c>
      <c r="BN95" s="46">
        <f>IFERROR(VLOOKUP('Summary Table for Print'!AK95,'Scoring and Weighting'!$C$35:$F$39,4,1),30)</f>
        <v>30</v>
      </c>
      <c r="BO95" s="46">
        <f t="shared" si="8"/>
        <v>20</v>
      </c>
      <c r="BP95" s="47">
        <f>IFERROR(VLOOKUP(AN95,'Scoring and Weighting'!$B$63:$C$65,2,FALSE),1)</f>
        <v>1</v>
      </c>
      <c r="BQ95" s="49">
        <f>BK95*'Scoring and Weighting'!$C$55*'Summary Table for Print'!BP95</f>
        <v>17.5</v>
      </c>
      <c r="BR95" s="49">
        <f>BL95*BP95*'Scoring and Weighting'!$C$56</f>
        <v>7.5</v>
      </c>
      <c r="BS95" s="49">
        <f>BP95*BM95*'Scoring and Weighting'!$C$57</f>
        <v>10</v>
      </c>
      <c r="BT95" s="49">
        <f>BP95*BN95*'Scoring and Weighting'!$C$58</f>
        <v>3</v>
      </c>
      <c r="BU95" s="49">
        <f>BP95*BO95*'Scoring and Weighting'!$C$59</f>
        <v>3</v>
      </c>
      <c r="BV95" s="50">
        <f t="shared" si="10"/>
        <v>41</v>
      </c>
    </row>
    <row r="96" spans="1:74" x14ac:dyDescent="0.25">
      <c r="A96" s="41" t="s">
        <v>269</v>
      </c>
      <c r="B96" s="41"/>
      <c r="C96" s="41">
        <v>84</v>
      </c>
      <c r="D96" s="41"/>
      <c r="E96" s="41"/>
      <c r="F96" s="41">
        <v>747</v>
      </c>
      <c r="G96" s="41" t="s">
        <v>95</v>
      </c>
      <c r="H96" s="41">
        <v>1</v>
      </c>
      <c r="I96" s="41">
        <v>0</v>
      </c>
      <c r="J96" s="41" t="str">
        <f>VLOOKUP(A96,'Table with Jurisdictions'!$A$4:$Q$129,17,0)</f>
        <v>Orange County</v>
      </c>
      <c r="K96" s="41" t="s">
        <v>50</v>
      </c>
      <c r="L96" s="41"/>
      <c r="M96" s="41" t="s">
        <v>64</v>
      </c>
      <c r="N96" s="41">
        <v>20442.952750516699</v>
      </c>
      <c r="O96" s="41">
        <v>10481231.6816977</v>
      </c>
      <c r="P96" s="42">
        <v>33.510450040463901</v>
      </c>
      <c r="Q96" s="41">
        <v>95</v>
      </c>
      <c r="R96" s="41">
        <v>95</v>
      </c>
      <c r="S96" s="41">
        <v>0</v>
      </c>
      <c r="T96" s="41">
        <v>0</v>
      </c>
      <c r="U96" s="41">
        <v>0</v>
      </c>
      <c r="V96" s="41">
        <v>0</v>
      </c>
      <c r="W96" s="41">
        <v>0</v>
      </c>
      <c r="X96" s="41">
        <v>0</v>
      </c>
      <c r="Y96" s="41">
        <v>0</v>
      </c>
      <c r="Z96" s="41">
        <v>0</v>
      </c>
      <c r="AA96" s="41">
        <v>100</v>
      </c>
      <c r="AB96" s="41">
        <v>0</v>
      </c>
      <c r="AC96" s="41">
        <v>0</v>
      </c>
      <c r="AD96" s="41">
        <v>0</v>
      </c>
      <c r="AE96" s="41">
        <v>2</v>
      </c>
      <c r="AF96" s="41">
        <v>0.57499999999999996</v>
      </c>
      <c r="AG96" s="41">
        <v>1.4999999999999999E-2</v>
      </c>
      <c r="AH96" s="41">
        <v>1.6</v>
      </c>
      <c r="AI96" s="41">
        <v>7.6499999999999997E-3</v>
      </c>
      <c r="AJ96" s="41">
        <v>1.4279999999999999E-2</v>
      </c>
      <c r="AK96" s="53">
        <f t="shared" si="7"/>
        <v>31.834927538440706</v>
      </c>
      <c r="AL96" s="43">
        <v>1.0965000000000001E-2</v>
      </c>
      <c r="AM96" s="43">
        <f>IF(ISBLANK(AT96),AL96*'ratio of flow'!$D$1,AT96)</f>
        <v>5.4130456544611294E-3</v>
      </c>
      <c r="AN96" s="44" t="s">
        <v>52</v>
      </c>
      <c r="AO96" s="44" t="s">
        <v>53</v>
      </c>
      <c r="AP96" s="44" t="s">
        <v>53</v>
      </c>
      <c r="AQ96" s="44" t="s">
        <v>114</v>
      </c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1"/>
      <c r="BD96" s="41"/>
      <c r="BE96" s="41"/>
      <c r="BF96" s="41"/>
      <c r="BG96" s="41"/>
      <c r="BH96" s="41"/>
      <c r="BI96" s="41"/>
      <c r="BJ96" s="41"/>
      <c r="BK96" s="46">
        <f>IFERROR(VLOOKUP(AQ96,'Scoring and Weighting'!$B$10:$C$12,2,FALSE),'Scoring and Weighting'!$C$13)</f>
        <v>60</v>
      </c>
      <c r="BL96" s="46">
        <f>VLOOKUP(AM96,'Scoring and Weighting'!$C$19:$F$23,4)</f>
        <v>30</v>
      </c>
      <c r="BM96" s="47">
        <f t="shared" si="9"/>
        <v>40</v>
      </c>
      <c r="BN96" s="46">
        <f>IFERROR(VLOOKUP('Summary Table for Print'!AK96,'Scoring and Weighting'!$C$35:$F$39,4,1),30)</f>
        <v>30</v>
      </c>
      <c r="BO96" s="46">
        <f t="shared" si="8"/>
        <v>60</v>
      </c>
      <c r="BP96" s="47">
        <f>IFERROR(VLOOKUP(AN96,'Scoring and Weighting'!$B$63:$C$65,2,FALSE),1)</f>
        <v>1</v>
      </c>
      <c r="BQ96" s="49">
        <f>BK96*'Scoring and Weighting'!$C$55*'Summary Table for Print'!BP96</f>
        <v>15</v>
      </c>
      <c r="BR96" s="49">
        <f>BL96*BP96*'Scoring and Weighting'!$C$56</f>
        <v>7.5</v>
      </c>
      <c r="BS96" s="49">
        <f>BP96*BM96*'Scoring and Weighting'!$C$57</f>
        <v>10</v>
      </c>
      <c r="BT96" s="49">
        <f>BP96*BN96*'Scoring and Weighting'!$C$58</f>
        <v>3</v>
      </c>
      <c r="BU96" s="49">
        <f>BP96*BO96*'Scoring and Weighting'!$C$59</f>
        <v>9</v>
      </c>
      <c r="BV96" s="50">
        <f t="shared" si="10"/>
        <v>44.5</v>
      </c>
    </row>
    <row r="97" spans="1:74" x14ac:dyDescent="0.25">
      <c r="A97" s="41" t="s">
        <v>270</v>
      </c>
      <c r="B97" s="41"/>
      <c r="C97" s="41">
        <v>24</v>
      </c>
      <c r="D97" s="41"/>
      <c r="E97" s="41"/>
      <c r="F97" s="41">
        <v>489</v>
      </c>
      <c r="G97" s="41" t="s">
        <v>240</v>
      </c>
      <c r="H97" s="41">
        <v>1</v>
      </c>
      <c r="I97" s="41">
        <v>0</v>
      </c>
      <c r="J97" s="41" t="str">
        <f>VLOOKUP(A97,'Table with Jurisdictions'!$A$4:$Q$129,17,0)</f>
        <v>Orange County</v>
      </c>
      <c r="K97" s="41" t="s">
        <v>50</v>
      </c>
      <c r="L97" s="41"/>
      <c r="M97" s="41" t="s">
        <v>64</v>
      </c>
      <c r="N97" s="41">
        <v>54145.237253510801</v>
      </c>
      <c r="O97" s="41">
        <v>90092133.167472005</v>
      </c>
      <c r="P97" s="42">
        <v>32.574313948763702</v>
      </c>
      <c r="Q97" s="41">
        <v>99</v>
      </c>
      <c r="R97" s="41">
        <v>99</v>
      </c>
      <c r="S97" s="41">
        <v>0</v>
      </c>
      <c r="T97" s="41">
        <v>0</v>
      </c>
      <c r="U97" s="41">
        <v>0</v>
      </c>
      <c r="V97" s="41">
        <v>0</v>
      </c>
      <c r="W97" s="41">
        <v>0</v>
      </c>
      <c r="X97" s="41">
        <v>0</v>
      </c>
      <c r="Y97" s="41">
        <v>0</v>
      </c>
      <c r="Z97" s="41">
        <v>0</v>
      </c>
      <c r="AA97" s="41">
        <v>100</v>
      </c>
      <c r="AB97" s="41">
        <v>0</v>
      </c>
      <c r="AC97" s="41">
        <v>0</v>
      </c>
      <c r="AD97" s="41">
        <v>0</v>
      </c>
      <c r="AE97" s="41">
        <v>2</v>
      </c>
      <c r="AF97" s="41">
        <v>1.1599999999999999</v>
      </c>
      <c r="AG97" s="41">
        <v>4.2500000000000003E-2</v>
      </c>
      <c r="AH97" s="41">
        <v>0.85</v>
      </c>
      <c r="AI97" s="41">
        <v>1.6830000000000001E-2</v>
      </c>
      <c r="AJ97" s="41">
        <v>3.6295000000000001E-2</v>
      </c>
      <c r="AK97" s="53">
        <f t="shared" si="7"/>
        <v>32.248570809276067</v>
      </c>
      <c r="AL97" s="43">
        <v>2.6562499999999999E-2</v>
      </c>
      <c r="AM97" s="43">
        <f>IF(ISBLANK(AT97),AL97*'ratio of flow'!$D$1,AT97)</f>
        <v>1.3112998193946533E-2</v>
      </c>
      <c r="AN97" s="44" t="s">
        <v>52</v>
      </c>
      <c r="AO97" s="44" t="s">
        <v>53</v>
      </c>
      <c r="AP97" s="44" t="s">
        <v>53</v>
      </c>
      <c r="AQ97" s="44" t="s">
        <v>114</v>
      </c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1"/>
      <c r="BD97" s="41"/>
      <c r="BE97" s="41"/>
      <c r="BF97" s="41"/>
      <c r="BG97" s="41"/>
      <c r="BH97" s="41"/>
      <c r="BI97" s="41"/>
      <c r="BJ97" s="41"/>
      <c r="BK97" s="46">
        <f>IFERROR(VLOOKUP(AQ97,'Scoring and Weighting'!$B$10:$C$12,2,FALSE),'Scoring and Weighting'!$C$13)</f>
        <v>60</v>
      </c>
      <c r="BL97" s="46">
        <f>VLOOKUP(AM97,'Scoring and Weighting'!$C$19:$F$23,4)</f>
        <v>30</v>
      </c>
      <c r="BM97" s="47">
        <f t="shared" si="9"/>
        <v>40</v>
      </c>
      <c r="BN97" s="46">
        <f>IFERROR(VLOOKUP('Summary Table for Print'!AK97,'Scoring and Weighting'!$C$35:$F$39,4,1),30)</f>
        <v>30</v>
      </c>
      <c r="BO97" s="46">
        <f t="shared" si="8"/>
        <v>60</v>
      </c>
      <c r="BP97" s="47">
        <f>IFERROR(VLOOKUP(AN97,'Scoring and Weighting'!$B$63:$C$65,2,FALSE),1)</f>
        <v>1</v>
      </c>
      <c r="BQ97" s="49">
        <f>BK97*'Scoring and Weighting'!$C$55*'Summary Table for Print'!BP97</f>
        <v>15</v>
      </c>
      <c r="BR97" s="49">
        <f>BL97*BP97*'Scoring and Weighting'!$C$56</f>
        <v>7.5</v>
      </c>
      <c r="BS97" s="49">
        <f>BP97*BM97*'Scoring and Weighting'!$C$57</f>
        <v>10</v>
      </c>
      <c r="BT97" s="49">
        <f>BP97*BN97*'Scoring and Weighting'!$C$58</f>
        <v>3</v>
      </c>
      <c r="BU97" s="49">
        <f>BP97*BO97*'Scoring and Weighting'!$C$59</f>
        <v>9</v>
      </c>
      <c r="BV97" s="50">
        <f t="shared" si="10"/>
        <v>44.5</v>
      </c>
    </row>
    <row r="98" spans="1:74" x14ac:dyDescent="0.25">
      <c r="A98" s="41" t="s">
        <v>193</v>
      </c>
      <c r="B98" s="41"/>
      <c r="C98" s="41">
        <v>60</v>
      </c>
      <c r="D98" s="41"/>
      <c r="E98" s="41"/>
      <c r="F98" s="41">
        <v>489</v>
      </c>
      <c r="G98" s="41" t="s">
        <v>240</v>
      </c>
      <c r="H98" s="41">
        <v>1</v>
      </c>
      <c r="I98" s="41">
        <v>0</v>
      </c>
      <c r="J98" s="41" t="str">
        <f>VLOOKUP(A98,'Table with Jurisdictions'!$A$4:$Q$129,17,0)</f>
        <v>San Juan Capistrano</v>
      </c>
      <c r="K98" s="41" t="s">
        <v>50</v>
      </c>
      <c r="L98" s="41"/>
      <c r="M98" s="41" t="s">
        <v>64</v>
      </c>
      <c r="N98" s="41">
        <v>11633.1071232716</v>
      </c>
      <c r="O98" s="41">
        <v>5586674.0195679897</v>
      </c>
      <c r="P98" s="42">
        <v>194.76067127702501</v>
      </c>
      <c r="Q98" s="41">
        <v>76</v>
      </c>
      <c r="R98" s="41">
        <v>66</v>
      </c>
      <c r="S98" s="41">
        <v>0</v>
      </c>
      <c r="T98" s="41">
        <v>0</v>
      </c>
      <c r="U98" s="41">
        <v>0</v>
      </c>
      <c r="V98" s="41">
        <v>0</v>
      </c>
      <c r="W98" s="41">
        <v>0</v>
      </c>
      <c r="X98" s="41">
        <v>0</v>
      </c>
      <c r="Y98" s="41">
        <v>0</v>
      </c>
      <c r="Z98" s="41">
        <v>0</v>
      </c>
      <c r="AA98" s="41">
        <v>0</v>
      </c>
      <c r="AB98" s="41">
        <v>0</v>
      </c>
      <c r="AC98" s="41">
        <v>0</v>
      </c>
      <c r="AD98" s="41">
        <v>100</v>
      </c>
      <c r="AE98" s="41">
        <v>1</v>
      </c>
      <c r="AF98" s="41">
        <v>3.5</v>
      </c>
      <c r="AG98" s="41">
        <v>0.05</v>
      </c>
      <c r="AH98" s="41">
        <v>1</v>
      </c>
      <c r="AI98" s="41">
        <v>0.14874999999999999</v>
      </c>
      <c r="AJ98" s="41">
        <v>0.14874999999999999</v>
      </c>
      <c r="AK98" s="53">
        <f t="shared" si="7"/>
        <v>148.01811017053899</v>
      </c>
      <c r="AL98" s="43">
        <v>0.14874999999999999</v>
      </c>
      <c r="AM98" s="43">
        <f>IF(ISBLANK(AT98),AL98*'ratio of flow'!$D$1,AT98)</f>
        <v>7.343278988610058E-2</v>
      </c>
      <c r="AN98" s="44"/>
      <c r="AO98" s="44"/>
      <c r="AP98" s="44"/>
      <c r="AQ98" s="44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1"/>
      <c r="BD98" s="41"/>
      <c r="BE98" s="41"/>
      <c r="BF98" s="41"/>
      <c r="BG98" s="41"/>
      <c r="BH98" s="41"/>
      <c r="BI98" s="41"/>
      <c r="BJ98" s="41"/>
      <c r="BK98" s="46">
        <f>IFERROR(VLOOKUP(AQ98,'Scoring and Weighting'!$B$10:$C$12,2,FALSE),'Scoring and Weighting'!$C$13)</f>
        <v>70</v>
      </c>
      <c r="BL98" s="46">
        <f>VLOOKUP(AM98,'Scoring and Weighting'!$C$19:$F$23,4)</f>
        <v>70</v>
      </c>
      <c r="BM98" s="47">
        <f t="shared" si="9"/>
        <v>40</v>
      </c>
      <c r="BN98" s="46">
        <f>IFERROR(VLOOKUP('Summary Table for Print'!AK98,'Scoring and Weighting'!$C$35:$F$39,4,1),30)</f>
        <v>50</v>
      </c>
      <c r="BO98" s="46">
        <f t="shared" si="8"/>
        <v>20</v>
      </c>
      <c r="BP98" s="47">
        <f>IFERROR(VLOOKUP(AN98,'Scoring and Weighting'!$B$63:$C$65,2,FALSE),1)</f>
        <v>1</v>
      </c>
      <c r="BQ98" s="49">
        <f>BK98*'Scoring and Weighting'!$C$55*'Summary Table for Print'!BP98</f>
        <v>17.5</v>
      </c>
      <c r="BR98" s="49">
        <f>BL98*BP98*'Scoring and Weighting'!$C$56</f>
        <v>17.5</v>
      </c>
      <c r="BS98" s="49">
        <f>BP98*BM98*'Scoring and Weighting'!$C$57</f>
        <v>10</v>
      </c>
      <c r="BT98" s="49">
        <f>BP98*BN98*'Scoring and Weighting'!$C$58</f>
        <v>5</v>
      </c>
      <c r="BU98" s="49">
        <f>BP98*BO98*'Scoring and Weighting'!$C$59</f>
        <v>3</v>
      </c>
      <c r="BV98" s="50">
        <f t="shared" si="10"/>
        <v>53</v>
      </c>
    </row>
    <row r="99" spans="1:74" x14ac:dyDescent="0.25">
      <c r="A99" s="41" t="s">
        <v>192</v>
      </c>
      <c r="B99" s="41"/>
      <c r="C99" s="41">
        <v>36</v>
      </c>
      <c r="D99" s="41"/>
      <c r="E99" s="41"/>
      <c r="F99" s="41">
        <v>730</v>
      </c>
      <c r="G99" s="41" t="s">
        <v>95</v>
      </c>
      <c r="H99" s="41">
        <v>1</v>
      </c>
      <c r="I99" s="41">
        <v>0</v>
      </c>
      <c r="J99" s="41" t="str">
        <f>VLOOKUP(A99,'Table with Jurisdictions'!$A$4:$Q$129,17,0)</f>
        <v>San Juan Capistrano</v>
      </c>
      <c r="K99" s="41" t="s">
        <v>50</v>
      </c>
      <c r="L99" s="41"/>
      <c r="M99" s="41" t="s">
        <v>64</v>
      </c>
      <c r="N99" s="41">
        <v>4978.8997408934101</v>
      </c>
      <c r="O99" s="41">
        <v>1419284.4612243101</v>
      </c>
      <c r="P99" s="42">
        <v>21.120077065805901</v>
      </c>
      <c r="Q99" s="41">
        <v>100</v>
      </c>
      <c r="R99" s="41">
        <v>99</v>
      </c>
      <c r="S99" s="41">
        <v>0</v>
      </c>
      <c r="T99" s="41">
        <v>0</v>
      </c>
      <c r="U99" s="41">
        <v>0</v>
      </c>
      <c r="V99" s="41">
        <v>0</v>
      </c>
      <c r="W99" s="41">
        <v>0</v>
      </c>
      <c r="X99" s="41">
        <v>0</v>
      </c>
      <c r="Y99" s="41">
        <v>0</v>
      </c>
      <c r="Z99" s="41">
        <v>0</v>
      </c>
      <c r="AA99" s="41">
        <v>0</v>
      </c>
      <c r="AB99" s="41">
        <v>0</v>
      </c>
      <c r="AC99" s="41">
        <v>0</v>
      </c>
      <c r="AD99" s="41">
        <v>100</v>
      </c>
      <c r="AE99" s="41">
        <v>1</v>
      </c>
      <c r="AF99" s="41">
        <v>0.5</v>
      </c>
      <c r="AG99" s="41">
        <v>0.01</v>
      </c>
      <c r="AH99" s="41">
        <v>3</v>
      </c>
      <c r="AI99" s="41">
        <v>1.2749999999999999E-2</v>
      </c>
      <c r="AJ99" s="41">
        <v>1.2749999999999999E-2</v>
      </c>
      <c r="AK99" s="53">
        <f t="shared" ref="AK99:AK121" si="11">P99*Q99/100</f>
        <v>21.120077065805898</v>
      </c>
      <c r="AL99" s="43">
        <v>1.2749999999999999E-2</v>
      </c>
      <c r="AM99" s="43">
        <f>IF(ISBLANK(AT99),AL99*'ratio of flow'!$D$1,AT99)</f>
        <v>6.2942391330943351E-3</v>
      </c>
      <c r="AN99" s="44"/>
      <c r="AO99" s="44"/>
      <c r="AP99" s="44"/>
      <c r="AQ99" s="44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1"/>
      <c r="BD99" s="41"/>
      <c r="BE99" s="41"/>
      <c r="BF99" s="41"/>
      <c r="BG99" s="41"/>
      <c r="BH99" s="41"/>
      <c r="BI99" s="41"/>
      <c r="BJ99" s="41"/>
      <c r="BK99" s="46">
        <f>IFERROR(VLOOKUP(AQ99,'Scoring and Weighting'!$B$10:$C$12,2,FALSE),'Scoring and Weighting'!$C$13)</f>
        <v>70</v>
      </c>
      <c r="BL99" s="46">
        <f>VLOOKUP(AM99,'Scoring and Weighting'!$C$19:$F$23,4)</f>
        <v>30</v>
      </c>
      <c r="BM99" s="47">
        <f t="shared" si="9"/>
        <v>40</v>
      </c>
      <c r="BN99" s="46">
        <f>IFERROR(VLOOKUP('Summary Table for Print'!AK99,'Scoring and Weighting'!$C$35:$F$39,4,1),30)</f>
        <v>30</v>
      </c>
      <c r="BO99" s="46">
        <f t="shared" ref="BO99:BO121" si="12">IF(AND(AE99&gt;1,AT99&gt;0,ISTEXT(AN99)),100,IF(AND(AT99&gt;0,ISTEXT(AN99)),80,IF(AND(AE99&gt;1,ISTEXT(AN99)),60,IF(AE99&gt;1,40,20))))</f>
        <v>20</v>
      </c>
      <c r="BP99" s="47">
        <f>IFERROR(VLOOKUP(AN99,'Scoring and Weighting'!$B$63:$C$65,2,FALSE),1)</f>
        <v>1</v>
      </c>
      <c r="BQ99" s="49">
        <f>BK99*'Scoring and Weighting'!$C$55*'Summary Table for Print'!BP99</f>
        <v>17.5</v>
      </c>
      <c r="BR99" s="49">
        <f>BL99*BP99*'Scoring and Weighting'!$C$56</f>
        <v>7.5</v>
      </c>
      <c r="BS99" s="49">
        <f>BP99*BM99*'Scoring and Weighting'!$C$57</f>
        <v>10</v>
      </c>
      <c r="BT99" s="49">
        <f>BP99*BN99*'Scoring and Weighting'!$C$58</f>
        <v>3</v>
      </c>
      <c r="BU99" s="49">
        <f>BP99*BO99*'Scoring and Weighting'!$C$59</f>
        <v>3</v>
      </c>
      <c r="BV99" s="50">
        <f t="shared" si="10"/>
        <v>41</v>
      </c>
    </row>
    <row r="100" spans="1:74" x14ac:dyDescent="0.25">
      <c r="A100" s="41" t="s">
        <v>189</v>
      </c>
      <c r="B100" s="41"/>
      <c r="C100" s="41">
        <v>36</v>
      </c>
      <c r="D100" s="41"/>
      <c r="E100" s="41"/>
      <c r="F100" s="41">
        <v>218</v>
      </c>
      <c r="G100" s="41" t="s">
        <v>95</v>
      </c>
      <c r="H100" s="41">
        <v>1</v>
      </c>
      <c r="I100" s="41">
        <v>0</v>
      </c>
      <c r="J100" s="41" t="str">
        <f>VLOOKUP(A100,'Table with Jurisdictions'!$A$4:$Q$129,17,0)</f>
        <v>San Juan Capistrano</v>
      </c>
      <c r="K100" s="41" t="s">
        <v>50</v>
      </c>
      <c r="L100" s="41"/>
      <c r="M100" s="41" t="s">
        <v>64</v>
      </c>
      <c r="N100" s="41">
        <v>5492.3137018510897</v>
      </c>
      <c r="O100" s="41">
        <v>1418445.20898326</v>
      </c>
      <c r="P100" s="42">
        <v>56.733114158089897</v>
      </c>
      <c r="Q100" s="41">
        <v>100</v>
      </c>
      <c r="R100" s="41">
        <v>10</v>
      </c>
      <c r="S100" s="41">
        <v>0</v>
      </c>
      <c r="T100" s="41">
        <v>0</v>
      </c>
      <c r="U100" s="41">
        <v>0</v>
      </c>
      <c r="V100" s="41">
        <v>0</v>
      </c>
      <c r="W100" s="41">
        <v>0</v>
      </c>
      <c r="X100" s="41">
        <v>0</v>
      </c>
      <c r="Y100" s="41">
        <v>0</v>
      </c>
      <c r="Z100" s="41">
        <v>0</v>
      </c>
      <c r="AA100" s="41">
        <v>0</v>
      </c>
      <c r="AB100" s="41">
        <v>0</v>
      </c>
      <c r="AC100" s="41">
        <v>0</v>
      </c>
      <c r="AD100" s="41">
        <v>100</v>
      </c>
      <c r="AE100" s="41">
        <v>1</v>
      </c>
      <c r="AF100" s="41">
        <v>0.4</v>
      </c>
      <c r="AG100" s="41">
        <v>0.01</v>
      </c>
      <c r="AH100" s="41">
        <v>0.33333333333333298</v>
      </c>
      <c r="AI100" s="41">
        <v>1.1333333333329999E-3</v>
      </c>
      <c r="AJ100" s="41">
        <v>1.1333333333329999E-3</v>
      </c>
      <c r="AK100" s="53">
        <f t="shared" si="11"/>
        <v>56.73311415808989</v>
      </c>
      <c r="AL100" s="43">
        <v>1.1333333333329999E-3</v>
      </c>
      <c r="AM100" s="43">
        <f>IF(ISBLANK(AT100),AL100*'ratio of flow'!$D$1,AT100)</f>
        <v>5.5948792294155413E-4</v>
      </c>
      <c r="AN100" s="44"/>
      <c r="AO100" s="44"/>
      <c r="AP100" s="44"/>
      <c r="AQ100" s="44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1"/>
      <c r="BD100" s="41"/>
      <c r="BE100" s="41"/>
      <c r="BF100" s="41"/>
      <c r="BG100" s="41"/>
      <c r="BH100" s="41"/>
      <c r="BI100" s="41"/>
      <c r="BJ100" s="41"/>
      <c r="BK100" s="46">
        <f>IFERROR(VLOOKUP(AQ100,'Scoring and Weighting'!$B$10:$C$12,2,FALSE),'Scoring and Weighting'!$C$13)</f>
        <v>70</v>
      </c>
      <c r="BL100" s="46">
        <f>VLOOKUP(AM100,'Scoring and Weighting'!$C$19:$F$23,4)</f>
        <v>30</v>
      </c>
      <c r="BM100" s="47">
        <f t="shared" si="9"/>
        <v>40</v>
      </c>
      <c r="BN100" s="46">
        <f>IFERROR(VLOOKUP('Summary Table for Print'!AK100,'Scoring and Weighting'!$C$35:$F$39,4,1),30)</f>
        <v>30</v>
      </c>
      <c r="BO100" s="46">
        <f t="shared" si="12"/>
        <v>20</v>
      </c>
      <c r="BP100" s="47">
        <f>IFERROR(VLOOKUP(AN100,'Scoring and Weighting'!$B$63:$C$65,2,FALSE),1)</f>
        <v>1</v>
      </c>
      <c r="BQ100" s="49">
        <f>BK100*'Scoring and Weighting'!$C$55*'Summary Table for Print'!BP100</f>
        <v>17.5</v>
      </c>
      <c r="BR100" s="49">
        <f>BL100*BP100*'Scoring and Weighting'!$C$56</f>
        <v>7.5</v>
      </c>
      <c r="BS100" s="49">
        <f>BP100*BM100*'Scoring and Weighting'!$C$57</f>
        <v>10</v>
      </c>
      <c r="BT100" s="49">
        <f>BP100*BN100*'Scoring and Weighting'!$C$58</f>
        <v>3</v>
      </c>
      <c r="BU100" s="49">
        <f>BP100*BO100*'Scoring and Weighting'!$C$59</f>
        <v>3</v>
      </c>
      <c r="BV100" s="50">
        <f t="shared" si="10"/>
        <v>41</v>
      </c>
    </row>
    <row r="101" spans="1:74" x14ac:dyDescent="0.25">
      <c r="A101" s="41" t="s">
        <v>190</v>
      </c>
      <c r="B101" s="41" t="s">
        <v>250</v>
      </c>
      <c r="C101" s="41">
        <v>96</v>
      </c>
      <c r="D101" s="41"/>
      <c r="E101" s="41"/>
      <c r="F101" s="41">
        <v>641</v>
      </c>
      <c r="G101" s="41" t="s">
        <v>62</v>
      </c>
      <c r="H101" s="41">
        <v>1</v>
      </c>
      <c r="I101" s="41">
        <v>0</v>
      </c>
      <c r="J101" s="41" t="str">
        <f>VLOOKUP(A101,'Table with Jurisdictions'!$A$4:$Q$129,17,0)</f>
        <v>San Juan Capistrano</v>
      </c>
      <c r="K101" s="41" t="s">
        <v>50</v>
      </c>
      <c r="L101" s="41"/>
      <c r="M101" s="41" t="s">
        <v>64</v>
      </c>
      <c r="N101" s="41">
        <v>43302.910212702802</v>
      </c>
      <c r="O101" s="41">
        <v>40351462.477653503</v>
      </c>
      <c r="P101" s="42">
        <v>226.46854450351799</v>
      </c>
      <c r="Q101" s="41">
        <v>93</v>
      </c>
      <c r="R101" s="41">
        <v>71</v>
      </c>
      <c r="S101" s="41">
        <v>0</v>
      </c>
      <c r="T101" s="41">
        <v>0</v>
      </c>
      <c r="U101" s="41">
        <v>0</v>
      </c>
      <c r="V101" s="41">
        <v>0</v>
      </c>
      <c r="W101" s="41">
        <v>0</v>
      </c>
      <c r="X101" s="41">
        <v>0</v>
      </c>
      <c r="Y101" s="41">
        <v>0</v>
      </c>
      <c r="Z101" s="41">
        <v>0</v>
      </c>
      <c r="AA101" s="41">
        <v>2</v>
      </c>
      <c r="AB101" s="41">
        <v>0</v>
      </c>
      <c r="AC101" s="41">
        <v>0</v>
      </c>
      <c r="AD101" s="41">
        <v>98</v>
      </c>
      <c r="AE101" s="41">
        <v>2</v>
      </c>
      <c r="AF101" s="41">
        <v>0.95</v>
      </c>
      <c r="AG101" s="41">
        <v>0.04</v>
      </c>
      <c r="AH101" s="41">
        <v>0.3125</v>
      </c>
      <c r="AI101" s="41">
        <v>5.7375000000000004E-3</v>
      </c>
      <c r="AJ101" s="41">
        <v>1.59375E-2</v>
      </c>
      <c r="AK101" s="53">
        <f t="shared" si="11"/>
        <v>210.61574638827173</v>
      </c>
      <c r="AL101" s="43">
        <v>1.08375E-2</v>
      </c>
      <c r="AM101" s="43">
        <f>IF(ISBLANK(AT101),AL101*'ratio of flow'!$D$1,AT101)</f>
        <v>5.3501032631301853E-3</v>
      </c>
      <c r="AN101" s="44"/>
      <c r="AO101" s="44"/>
      <c r="AP101" s="44"/>
      <c r="AQ101" s="44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1"/>
      <c r="BD101" s="41"/>
      <c r="BE101" s="41"/>
      <c r="BF101" s="41"/>
      <c r="BG101" s="41"/>
      <c r="BH101" s="41"/>
      <c r="BI101" s="41"/>
      <c r="BJ101" s="41"/>
      <c r="BK101" s="46">
        <f>IFERROR(VLOOKUP(AQ101,'Scoring and Weighting'!$B$10:$C$12,2,FALSE),'Scoring and Weighting'!$C$13)</f>
        <v>70</v>
      </c>
      <c r="BL101" s="46">
        <f>VLOOKUP(AM101,'Scoring and Weighting'!$C$19:$F$23,4)</f>
        <v>30</v>
      </c>
      <c r="BM101" s="47">
        <f t="shared" si="9"/>
        <v>40</v>
      </c>
      <c r="BN101" s="46">
        <f>IFERROR(VLOOKUP('Summary Table for Print'!AK101,'Scoring and Weighting'!$C$35:$F$39,4,1),30)</f>
        <v>50</v>
      </c>
      <c r="BO101" s="46">
        <f t="shared" si="12"/>
        <v>40</v>
      </c>
      <c r="BP101" s="47">
        <f>IFERROR(VLOOKUP(AN101,'Scoring and Weighting'!$B$63:$C$65,2,FALSE),1)</f>
        <v>1</v>
      </c>
      <c r="BQ101" s="49">
        <f>BK101*'Scoring and Weighting'!$C$55*'Summary Table for Print'!BP101</f>
        <v>17.5</v>
      </c>
      <c r="BR101" s="49">
        <f>BL101*BP101*'Scoring and Weighting'!$C$56</f>
        <v>7.5</v>
      </c>
      <c r="BS101" s="49">
        <f>BP101*BM101*'Scoring and Weighting'!$C$57</f>
        <v>10</v>
      </c>
      <c r="BT101" s="49">
        <f>BP101*BN101*'Scoring and Weighting'!$C$58</f>
        <v>5</v>
      </c>
      <c r="BU101" s="49">
        <f>BP101*BO101*'Scoring and Weighting'!$C$59</f>
        <v>6</v>
      </c>
      <c r="BV101" s="50">
        <f t="shared" si="10"/>
        <v>46</v>
      </c>
    </row>
    <row r="102" spans="1:74" x14ac:dyDescent="0.25">
      <c r="A102" s="41" t="s">
        <v>220</v>
      </c>
      <c r="B102" s="41"/>
      <c r="C102" s="41">
        <v>36</v>
      </c>
      <c r="D102" s="41"/>
      <c r="E102" s="41"/>
      <c r="F102" s="41">
        <v>455</v>
      </c>
      <c r="G102" s="41" t="s">
        <v>109</v>
      </c>
      <c r="H102" s="41">
        <v>1</v>
      </c>
      <c r="I102" s="41">
        <v>0</v>
      </c>
      <c r="J102" s="41" t="str">
        <f>VLOOKUP(A102,'Table with Jurisdictions'!$A$4:$Q$129,17,0)</f>
        <v>Rancho Santa Margarita</v>
      </c>
      <c r="K102" s="41" t="s">
        <v>50</v>
      </c>
      <c r="L102" s="41"/>
      <c r="M102" s="41" t="s">
        <v>64</v>
      </c>
      <c r="N102" s="41">
        <v>6788.5173593405798</v>
      </c>
      <c r="O102" s="41">
        <v>1034751.98653713</v>
      </c>
      <c r="P102" s="42">
        <v>571.54189286956296</v>
      </c>
      <c r="Q102" s="41">
        <v>97</v>
      </c>
      <c r="R102" s="41">
        <v>79</v>
      </c>
      <c r="S102" s="41">
        <v>0</v>
      </c>
      <c r="T102" s="41">
        <v>0</v>
      </c>
      <c r="U102" s="41">
        <v>0</v>
      </c>
      <c r="V102" s="41">
        <v>0</v>
      </c>
      <c r="W102" s="41">
        <v>0</v>
      </c>
      <c r="X102" s="41">
        <v>0</v>
      </c>
      <c r="Y102" s="41">
        <v>0</v>
      </c>
      <c r="Z102" s="41">
        <v>0</v>
      </c>
      <c r="AA102" s="41">
        <v>8</v>
      </c>
      <c r="AB102" s="41">
        <v>92</v>
      </c>
      <c r="AC102" s="41">
        <v>0</v>
      </c>
      <c r="AD102" s="41">
        <v>0</v>
      </c>
      <c r="AE102" s="41">
        <v>1</v>
      </c>
      <c r="AF102" s="41">
        <v>0.7</v>
      </c>
      <c r="AG102" s="41">
        <v>0.03</v>
      </c>
      <c r="AH102" s="41">
        <v>2</v>
      </c>
      <c r="AI102" s="41">
        <v>3.5700000000000003E-2</v>
      </c>
      <c r="AJ102" s="41">
        <v>3.5700000000000003E-2</v>
      </c>
      <c r="AK102" s="53">
        <f t="shared" si="11"/>
        <v>554.39563608347601</v>
      </c>
      <c r="AL102" s="43">
        <v>3.5700000000000003E-2</v>
      </c>
      <c r="AM102" s="43">
        <f>IF(ISBLANK(AT102),AL102*'ratio of flow'!$D$1,AT102)</f>
        <v>1.7623869572664142E-2</v>
      </c>
      <c r="AN102" s="44" t="s">
        <v>210</v>
      </c>
      <c r="AO102" s="44" t="s">
        <v>131</v>
      </c>
      <c r="AP102" s="44" t="s">
        <v>53</v>
      </c>
      <c r="AQ102" s="44" t="s">
        <v>54</v>
      </c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1"/>
      <c r="BD102" s="41"/>
      <c r="BE102" s="41"/>
      <c r="BF102" s="41"/>
      <c r="BG102" s="41"/>
      <c r="BH102" s="41"/>
      <c r="BI102" s="41"/>
      <c r="BJ102" s="41"/>
      <c r="BK102" s="46">
        <f>IFERROR(VLOOKUP(AQ102,'Scoring and Weighting'!$B$10:$C$12,2,FALSE),'Scoring and Weighting'!$C$13)</f>
        <v>100</v>
      </c>
      <c r="BL102" s="46">
        <f>VLOOKUP(AM102,'Scoring and Weighting'!$C$19:$F$23,4)</f>
        <v>50</v>
      </c>
      <c r="BM102" s="47">
        <f t="shared" si="9"/>
        <v>40</v>
      </c>
      <c r="BN102" s="46">
        <f>IFERROR(VLOOKUP('Summary Table for Print'!AK102,'Scoring and Weighting'!$C$35:$F$39,4,1),30)</f>
        <v>90</v>
      </c>
      <c r="BO102" s="46">
        <f t="shared" si="12"/>
        <v>20</v>
      </c>
      <c r="BP102" s="47">
        <f>IFERROR(VLOOKUP(AN102,'Scoring and Weighting'!$B$63:$C$65,2,FALSE),1)</f>
        <v>0</v>
      </c>
      <c r="BQ102" s="49">
        <f>BK102*'Scoring and Weighting'!$C$55*'Summary Table for Print'!BP102</f>
        <v>0</v>
      </c>
      <c r="BR102" s="49">
        <f>BL102*BP102*'Scoring and Weighting'!$C$56</f>
        <v>0</v>
      </c>
      <c r="BS102" s="49">
        <f>BP102*BM102*'Scoring and Weighting'!$C$57</f>
        <v>0</v>
      </c>
      <c r="BT102" s="49">
        <f>BP102*BN102*'Scoring and Weighting'!$C$58</f>
        <v>0</v>
      </c>
      <c r="BU102" s="49">
        <f>BP102*BO102*'Scoring and Weighting'!$C$59</f>
        <v>0</v>
      </c>
      <c r="BV102" s="50">
        <f t="shared" si="10"/>
        <v>0</v>
      </c>
    </row>
    <row r="103" spans="1:74" x14ac:dyDescent="0.25">
      <c r="A103" s="41" t="s">
        <v>234</v>
      </c>
      <c r="B103" s="41"/>
      <c r="C103" s="41">
        <v>48</v>
      </c>
      <c r="D103" s="41"/>
      <c r="E103" s="41"/>
      <c r="F103" s="41">
        <v>11010</v>
      </c>
      <c r="G103" s="41" t="s">
        <v>175</v>
      </c>
      <c r="H103" s="41">
        <v>1</v>
      </c>
      <c r="I103" s="41">
        <v>0</v>
      </c>
      <c r="J103" s="41" t="str">
        <f>VLOOKUP(A103,'Table with Jurisdictions'!$A$4:$Q$129,17,0)</f>
        <v>Mission Viejo</v>
      </c>
      <c r="K103" s="41" t="s">
        <v>50</v>
      </c>
      <c r="L103" s="41"/>
      <c r="M103" s="41" t="s">
        <v>64</v>
      </c>
      <c r="N103" s="41">
        <v>3279.87662228108</v>
      </c>
      <c r="O103" s="41">
        <v>529212.09289093001</v>
      </c>
      <c r="P103" s="42">
        <v>171.66602081530999</v>
      </c>
      <c r="Q103" s="41">
        <v>98</v>
      </c>
      <c r="R103" s="41">
        <v>95</v>
      </c>
      <c r="S103" s="41">
        <v>0</v>
      </c>
      <c r="T103" s="41">
        <v>0</v>
      </c>
      <c r="U103" s="41">
        <v>0</v>
      </c>
      <c r="V103" s="41">
        <v>0</v>
      </c>
      <c r="W103" s="41">
        <v>0</v>
      </c>
      <c r="X103" s="41">
        <v>0</v>
      </c>
      <c r="Y103" s="41">
        <v>0</v>
      </c>
      <c r="Z103" s="41">
        <v>100</v>
      </c>
      <c r="AA103" s="41">
        <v>0</v>
      </c>
      <c r="AB103" s="41">
        <v>0</v>
      </c>
      <c r="AC103" s="41">
        <v>0</v>
      </c>
      <c r="AD103" s="41">
        <v>0</v>
      </c>
      <c r="AE103" s="41">
        <v>1</v>
      </c>
      <c r="AF103" s="41">
        <v>0.7</v>
      </c>
      <c r="AG103" s="41">
        <v>0.05</v>
      </c>
      <c r="AH103" s="41">
        <v>1.5</v>
      </c>
      <c r="AI103" s="41">
        <v>4.4624999999999998E-2</v>
      </c>
      <c r="AJ103" s="41">
        <v>4.4624999999999998E-2</v>
      </c>
      <c r="AK103" s="53">
        <f t="shared" si="11"/>
        <v>168.23270039900382</v>
      </c>
      <c r="AL103" s="43">
        <v>4.4624999999999998E-2</v>
      </c>
      <c r="AM103" s="43">
        <f>IF(ISBLANK(AT103),AL103*'ratio of flow'!$D$1,AT103)</f>
        <v>2.2029836965830173E-2</v>
      </c>
      <c r="AN103" s="44"/>
      <c r="AO103" s="44"/>
      <c r="AP103" s="44"/>
      <c r="AQ103" s="44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1"/>
      <c r="BD103" s="41"/>
      <c r="BE103" s="41"/>
      <c r="BF103" s="41"/>
      <c r="BG103" s="41"/>
      <c r="BH103" s="41"/>
      <c r="BI103" s="41"/>
      <c r="BJ103" s="41"/>
      <c r="BK103" s="46">
        <f>IFERROR(VLOOKUP(AQ103,'Scoring and Weighting'!$B$10:$C$12,2,FALSE),'Scoring and Weighting'!$C$13)</f>
        <v>70</v>
      </c>
      <c r="BL103" s="46">
        <f>VLOOKUP(AM103,'Scoring and Weighting'!$C$19:$F$23,4)</f>
        <v>50</v>
      </c>
      <c r="BM103" s="47">
        <f t="shared" si="9"/>
        <v>40</v>
      </c>
      <c r="BN103" s="46">
        <f>IFERROR(VLOOKUP('Summary Table for Print'!AK103,'Scoring and Weighting'!$C$35:$F$39,4,1),30)</f>
        <v>50</v>
      </c>
      <c r="BO103" s="46">
        <f t="shared" si="12"/>
        <v>20</v>
      </c>
      <c r="BP103" s="47">
        <f>IFERROR(VLOOKUP(AN103,'Scoring and Weighting'!$B$63:$C$65,2,FALSE),1)</f>
        <v>1</v>
      </c>
      <c r="BQ103" s="49">
        <f>BK103*'Scoring and Weighting'!$C$55*'Summary Table for Print'!BP103</f>
        <v>17.5</v>
      </c>
      <c r="BR103" s="49">
        <f>BL103*BP103*'Scoring and Weighting'!$C$56</f>
        <v>12.5</v>
      </c>
      <c r="BS103" s="49">
        <f>BP103*BM103*'Scoring and Weighting'!$C$57</f>
        <v>10</v>
      </c>
      <c r="BT103" s="49">
        <f>BP103*BN103*'Scoring and Weighting'!$C$58</f>
        <v>5</v>
      </c>
      <c r="BU103" s="49">
        <f>BP103*BO103*'Scoring and Weighting'!$C$59</f>
        <v>3</v>
      </c>
      <c r="BV103" s="50">
        <f t="shared" si="10"/>
        <v>48</v>
      </c>
    </row>
    <row r="104" spans="1:74" x14ac:dyDescent="0.25">
      <c r="A104" s="41" t="s">
        <v>237</v>
      </c>
      <c r="B104" s="41"/>
      <c r="C104" s="41">
        <v>48</v>
      </c>
      <c r="D104" s="41"/>
      <c r="E104" s="41"/>
      <c r="F104" s="41">
        <v>12155</v>
      </c>
      <c r="G104" s="41" t="s">
        <v>82</v>
      </c>
      <c r="H104" s="41">
        <v>1</v>
      </c>
      <c r="I104" s="41">
        <v>0</v>
      </c>
      <c r="J104" s="41" t="str">
        <f>VLOOKUP(A104,'Table with Jurisdictions'!$A$4:$Q$129,17,0)</f>
        <v>Orange County</v>
      </c>
      <c r="K104" s="41" t="s">
        <v>50</v>
      </c>
      <c r="L104" s="41"/>
      <c r="M104" s="41" t="s">
        <v>64</v>
      </c>
      <c r="N104" s="41">
        <v>14603.3699214347</v>
      </c>
      <c r="O104" s="41">
        <v>6405284.2062949203</v>
      </c>
      <c r="P104" s="42">
        <v>255.628767096909</v>
      </c>
      <c r="Q104" s="41">
        <v>19</v>
      </c>
      <c r="R104" s="41">
        <v>14</v>
      </c>
      <c r="S104" s="41">
        <v>0</v>
      </c>
      <c r="T104" s="41">
        <v>0</v>
      </c>
      <c r="U104" s="41">
        <v>0</v>
      </c>
      <c r="V104" s="41">
        <v>0</v>
      </c>
      <c r="W104" s="41">
        <v>0</v>
      </c>
      <c r="X104" s="41">
        <v>0</v>
      </c>
      <c r="Y104" s="41">
        <v>0</v>
      </c>
      <c r="Z104" s="41">
        <v>0</v>
      </c>
      <c r="AA104" s="41">
        <v>100</v>
      </c>
      <c r="AB104" s="41">
        <v>0</v>
      </c>
      <c r="AC104" s="41">
        <v>0</v>
      </c>
      <c r="AD104" s="41">
        <v>0</v>
      </c>
      <c r="AE104" s="41">
        <v>1</v>
      </c>
      <c r="AF104" s="41">
        <v>0.4</v>
      </c>
      <c r="AG104" s="41">
        <v>5.0000000000000001E-3</v>
      </c>
      <c r="AH104" s="41">
        <v>0.6</v>
      </c>
      <c r="AI104" s="41">
        <v>1.0200000000000001E-3</v>
      </c>
      <c r="AJ104" s="41">
        <v>1.0200000000000001E-3</v>
      </c>
      <c r="AK104" s="53">
        <f t="shared" si="11"/>
        <v>48.569465748412711</v>
      </c>
      <c r="AL104" s="43">
        <v>1.0200000000000001E-3</v>
      </c>
      <c r="AM104" s="43">
        <f>IF(ISBLANK(AT104),AL104*'ratio of flow'!$D$1,AT104)</f>
        <v>5.0353913064754693E-4</v>
      </c>
      <c r="AN104" s="44"/>
      <c r="AO104" s="44"/>
      <c r="AP104" s="44"/>
      <c r="AQ104" s="44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1"/>
      <c r="BD104" s="41"/>
      <c r="BE104" s="41"/>
      <c r="BF104" s="41"/>
      <c r="BG104" s="41"/>
      <c r="BH104" s="41"/>
      <c r="BI104" s="41"/>
      <c r="BJ104" s="41"/>
      <c r="BK104" s="46">
        <f>IFERROR(VLOOKUP(AQ104,'Scoring and Weighting'!$B$10:$C$12,2,FALSE),'Scoring and Weighting'!$C$13)</f>
        <v>70</v>
      </c>
      <c r="BL104" s="46">
        <f>VLOOKUP(AM104,'Scoring and Weighting'!$C$19:$F$23,4)</f>
        <v>30</v>
      </c>
      <c r="BM104" s="47">
        <f t="shared" si="9"/>
        <v>40</v>
      </c>
      <c r="BN104" s="46">
        <f>IFERROR(VLOOKUP('Summary Table for Print'!AK104,'Scoring and Weighting'!$C$35:$F$39,4,1),30)</f>
        <v>30</v>
      </c>
      <c r="BO104" s="46">
        <f t="shared" si="12"/>
        <v>20</v>
      </c>
      <c r="BP104" s="47">
        <f>IFERROR(VLOOKUP(AN104,'Scoring and Weighting'!$B$63:$C$65,2,FALSE),1)</f>
        <v>1</v>
      </c>
      <c r="BQ104" s="49">
        <f>BK104*'Scoring and Weighting'!$C$55*'Summary Table for Print'!BP104</f>
        <v>17.5</v>
      </c>
      <c r="BR104" s="49">
        <f>BL104*BP104*'Scoring and Weighting'!$C$56</f>
        <v>7.5</v>
      </c>
      <c r="BS104" s="49">
        <f>BP104*BM104*'Scoring and Weighting'!$C$57</f>
        <v>10</v>
      </c>
      <c r="BT104" s="49">
        <f>BP104*BN104*'Scoring and Weighting'!$C$58</f>
        <v>3</v>
      </c>
      <c r="BU104" s="49">
        <f>BP104*BO104*'Scoring and Weighting'!$C$59</f>
        <v>3</v>
      </c>
      <c r="BV104" s="50">
        <f t="shared" si="10"/>
        <v>41</v>
      </c>
    </row>
    <row r="105" spans="1:74" x14ac:dyDescent="0.25">
      <c r="A105" s="41" t="s">
        <v>236</v>
      </c>
      <c r="B105" s="41"/>
      <c r="C105" s="41">
        <v>54</v>
      </c>
      <c r="D105" s="41"/>
      <c r="E105" s="41"/>
      <c r="F105" s="41">
        <v>12036</v>
      </c>
      <c r="G105" s="41" t="s">
        <v>82</v>
      </c>
      <c r="H105" s="41">
        <v>1</v>
      </c>
      <c r="I105" s="41">
        <v>0</v>
      </c>
      <c r="J105" s="41" t="str">
        <f>VLOOKUP(A105,'Table with Jurisdictions'!$A$4:$Q$129,17,0)</f>
        <v>Mission Viejo</v>
      </c>
      <c r="K105" s="41" t="s">
        <v>50</v>
      </c>
      <c r="L105" s="41"/>
      <c r="M105" s="41" t="s">
        <v>64</v>
      </c>
      <c r="N105" s="41">
        <v>22387.540402897899</v>
      </c>
      <c r="O105" s="41">
        <v>8074763.9375076303</v>
      </c>
      <c r="P105" s="42">
        <v>48.541145664965903</v>
      </c>
      <c r="Q105" s="41">
        <v>95</v>
      </c>
      <c r="R105" s="41">
        <v>90</v>
      </c>
      <c r="S105" s="41">
        <v>0</v>
      </c>
      <c r="T105" s="41">
        <v>0</v>
      </c>
      <c r="U105" s="41">
        <v>0</v>
      </c>
      <c r="V105" s="41">
        <v>0</v>
      </c>
      <c r="W105" s="41">
        <v>0</v>
      </c>
      <c r="X105" s="41">
        <v>0</v>
      </c>
      <c r="Y105" s="41">
        <v>0</v>
      </c>
      <c r="Z105" s="41">
        <v>100</v>
      </c>
      <c r="AA105" s="41">
        <v>0</v>
      </c>
      <c r="AB105" s="41">
        <v>0</v>
      </c>
      <c r="AC105" s="41">
        <v>0</v>
      </c>
      <c r="AD105" s="41">
        <v>0</v>
      </c>
      <c r="AE105" s="41">
        <v>1</v>
      </c>
      <c r="AF105" s="41">
        <v>0.5</v>
      </c>
      <c r="AG105" s="41">
        <v>0.03</v>
      </c>
      <c r="AH105" s="41">
        <v>1</v>
      </c>
      <c r="AI105" s="41">
        <v>1.2749999999999999E-2</v>
      </c>
      <c r="AJ105" s="41">
        <v>1.2749999999999999E-2</v>
      </c>
      <c r="AK105" s="53">
        <f t="shared" si="11"/>
        <v>46.114088381717607</v>
      </c>
      <c r="AL105" s="43">
        <v>1.2749999999999999E-2</v>
      </c>
      <c r="AM105" s="43">
        <f>IF(ISBLANK(AT105),AL105*'ratio of flow'!$D$1,AT105)</f>
        <v>6.2942391330943351E-3</v>
      </c>
      <c r="AN105" s="44"/>
      <c r="AO105" s="44"/>
      <c r="AP105" s="44"/>
      <c r="AQ105" s="44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1"/>
      <c r="BD105" s="41"/>
      <c r="BE105" s="41"/>
      <c r="BF105" s="41"/>
      <c r="BG105" s="41"/>
      <c r="BH105" s="41"/>
      <c r="BI105" s="41"/>
      <c r="BJ105" s="41"/>
      <c r="BK105" s="46">
        <f>IFERROR(VLOOKUP(AQ105,'Scoring and Weighting'!$B$10:$C$12,2,FALSE),'Scoring and Weighting'!$C$13)</f>
        <v>70</v>
      </c>
      <c r="BL105" s="46">
        <f>VLOOKUP(AM105,'Scoring and Weighting'!$C$19:$F$23,4)</f>
        <v>30</v>
      </c>
      <c r="BM105" s="47">
        <f t="shared" si="9"/>
        <v>40</v>
      </c>
      <c r="BN105" s="46">
        <f>IFERROR(VLOOKUP('Summary Table for Print'!AK105,'Scoring and Weighting'!$C$35:$F$39,4,1),30)</f>
        <v>30</v>
      </c>
      <c r="BO105" s="46">
        <f t="shared" si="12"/>
        <v>20</v>
      </c>
      <c r="BP105" s="47">
        <f>IFERROR(VLOOKUP(AN105,'Scoring and Weighting'!$B$63:$C$65,2,FALSE),1)</f>
        <v>1</v>
      </c>
      <c r="BQ105" s="49">
        <f>BK105*'Scoring and Weighting'!$C$55*'Summary Table for Print'!BP105</f>
        <v>17.5</v>
      </c>
      <c r="BR105" s="49">
        <f>BL105*BP105*'Scoring and Weighting'!$C$56</f>
        <v>7.5</v>
      </c>
      <c r="BS105" s="49">
        <f>BP105*BM105*'Scoring and Weighting'!$C$57</f>
        <v>10</v>
      </c>
      <c r="BT105" s="49">
        <f>BP105*BN105*'Scoring and Weighting'!$C$58</f>
        <v>3</v>
      </c>
      <c r="BU105" s="49">
        <f>BP105*BO105*'Scoring and Weighting'!$C$59</f>
        <v>3</v>
      </c>
      <c r="BV105" s="50">
        <f t="shared" si="10"/>
        <v>41</v>
      </c>
    </row>
    <row r="106" spans="1:74" x14ac:dyDescent="0.25">
      <c r="A106" s="41" t="s">
        <v>267</v>
      </c>
      <c r="B106" s="41"/>
      <c r="C106" s="41">
        <v>78</v>
      </c>
      <c r="D106" s="41"/>
      <c r="E106" s="41"/>
      <c r="F106" s="41">
        <v>9234</v>
      </c>
      <c r="G106" s="41" t="s">
        <v>57</v>
      </c>
      <c r="H106" s="41">
        <v>1</v>
      </c>
      <c r="I106" s="41">
        <v>0</v>
      </c>
      <c r="J106" s="41" t="s">
        <v>527</v>
      </c>
      <c r="K106" s="41" t="s">
        <v>50</v>
      </c>
      <c r="L106" s="41"/>
      <c r="M106" s="41" t="s">
        <v>64</v>
      </c>
      <c r="N106" s="41">
        <v>20544.948683509101</v>
      </c>
      <c r="O106" s="41">
        <v>10109842.9494379</v>
      </c>
      <c r="P106" s="42" t="s">
        <v>527</v>
      </c>
      <c r="Q106" s="41" t="s">
        <v>527</v>
      </c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>
        <v>1</v>
      </c>
      <c r="AF106" s="41">
        <v>1</v>
      </c>
      <c r="AG106" s="41">
        <v>0.04</v>
      </c>
      <c r="AH106" s="41">
        <v>2</v>
      </c>
      <c r="AI106" s="41">
        <v>6.8000000000000005E-2</v>
      </c>
      <c r="AJ106" s="41">
        <v>6.8000000000000005E-2</v>
      </c>
      <c r="AK106" s="53" t="e">
        <f t="shared" si="11"/>
        <v>#VALUE!</v>
      </c>
      <c r="AL106" s="43">
        <v>6.8000000000000005E-2</v>
      </c>
      <c r="AM106" s="43">
        <f>IF(ISBLANK(AT106),AL106*'ratio of flow'!$D$1,AT106)</f>
        <v>3.356927537650313E-2</v>
      </c>
      <c r="AN106" s="44" t="s">
        <v>52</v>
      </c>
      <c r="AO106" s="44" t="s">
        <v>53</v>
      </c>
      <c r="AP106" s="44" t="s">
        <v>53</v>
      </c>
      <c r="AQ106" s="44" t="s">
        <v>114</v>
      </c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1"/>
      <c r="BD106" s="41"/>
      <c r="BE106" s="41"/>
      <c r="BF106" s="41"/>
      <c r="BG106" s="41"/>
      <c r="BH106" s="41"/>
      <c r="BI106" s="41"/>
      <c r="BJ106" s="41"/>
      <c r="BK106" s="46">
        <f>IFERROR(VLOOKUP(AQ106,'Scoring and Weighting'!$B$10:$C$12,2,FALSE),'Scoring and Weighting'!$C$13)</f>
        <v>60</v>
      </c>
      <c r="BL106" s="46">
        <f>VLOOKUP(AM106,'Scoring and Weighting'!$C$19:$F$23,4)</f>
        <v>50</v>
      </c>
      <c r="BM106" s="47">
        <f t="shared" si="9"/>
        <v>40</v>
      </c>
      <c r="BN106" s="46">
        <f>IFERROR(VLOOKUP('Summary Table for Print'!AK106,'Scoring and Weighting'!$C$35:$F$39,4,1),30)</f>
        <v>30</v>
      </c>
      <c r="BO106" s="46">
        <f t="shared" si="12"/>
        <v>20</v>
      </c>
      <c r="BP106" s="47">
        <f>IFERROR(VLOOKUP(AN106,'Scoring and Weighting'!$B$63:$C$65,2,FALSE),1)</f>
        <v>1</v>
      </c>
      <c r="BQ106" s="49">
        <f>BK106*'Scoring and Weighting'!$C$55*'Summary Table for Print'!BP106</f>
        <v>15</v>
      </c>
      <c r="BR106" s="49">
        <f>BL106*BP106*'Scoring and Weighting'!$C$56</f>
        <v>12.5</v>
      </c>
      <c r="BS106" s="49">
        <f>BP106*BM106*'Scoring and Weighting'!$C$57</f>
        <v>10</v>
      </c>
      <c r="BT106" s="49">
        <f>BP106*BN106*'Scoring and Weighting'!$C$58</f>
        <v>3</v>
      </c>
      <c r="BU106" s="49">
        <f>BP106*BO106*'Scoring and Weighting'!$C$59</f>
        <v>3</v>
      </c>
      <c r="BV106" s="50">
        <f t="shared" si="10"/>
        <v>43.5</v>
      </c>
    </row>
    <row r="107" spans="1:74" x14ac:dyDescent="0.25">
      <c r="A107" s="41" t="s">
        <v>275</v>
      </c>
      <c r="B107" s="41" t="s">
        <v>113</v>
      </c>
      <c r="C107" s="41">
        <v>36</v>
      </c>
      <c r="D107" s="41"/>
      <c r="E107" s="41"/>
      <c r="F107" s="41">
        <v>316</v>
      </c>
      <c r="G107" s="41" t="s">
        <v>109</v>
      </c>
      <c r="H107" s="41">
        <v>1</v>
      </c>
      <c r="I107" s="41">
        <v>0</v>
      </c>
      <c r="J107" s="41" t="str">
        <f>VLOOKUP(A107,'Table with Jurisdictions'!$A$4:$Q$129,17,0)</f>
        <v>Mission Viejo</v>
      </c>
      <c r="K107" s="41" t="s">
        <v>50</v>
      </c>
      <c r="L107" s="41"/>
      <c r="M107" s="41" t="s">
        <v>64</v>
      </c>
      <c r="N107" s="41">
        <v>8325.2041420229598</v>
      </c>
      <c r="O107" s="41">
        <v>1921356.2164706399</v>
      </c>
      <c r="P107" s="42">
        <v>165.69296562175401</v>
      </c>
      <c r="Q107" s="41">
        <v>88</v>
      </c>
      <c r="R107" s="41">
        <v>57</v>
      </c>
      <c r="S107" s="41">
        <v>0</v>
      </c>
      <c r="T107" s="41">
        <v>0</v>
      </c>
      <c r="U107" s="41">
        <v>0</v>
      </c>
      <c r="V107" s="41">
        <v>0</v>
      </c>
      <c r="W107" s="41">
        <v>0</v>
      </c>
      <c r="X107" s="41">
        <v>0</v>
      </c>
      <c r="Y107" s="41">
        <v>0</v>
      </c>
      <c r="Z107" s="41">
        <v>100</v>
      </c>
      <c r="AA107" s="41">
        <v>0</v>
      </c>
      <c r="AB107" s="41">
        <v>0</v>
      </c>
      <c r="AC107" s="41">
        <v>0</v>
      </c>
      <c r="AD107" s="41">
        <v>0</v>
      </c>
      <c r="AE107" s="41">
        <v>1</v>
      </c>
      <c r="AF107" s="41">
        <v>0.3</v>
      </c>
      <c r="AG107" s="41">
        <v>1E-3</v>
      </c>
      <c r="AH107" s="41">
        <v>1.3333333333333299</v>
      </c>
      <c r="AI107" s="41">
        <v>3.4000000000000002E-4</v>
      </c>
      <c r="AJ107" s="41">
        <v>3.4000000000000002E-4</v>
      </c>
      <c r="AK107" s="53">
        <f t="shared" si="11"/>
        <v>145.80980974714353</v>
      </c>
      <c r="AL107" s="43">
        <v>3.4000000000000002E-4</v>
      </c>
      <c r="AM107" s="43">
        <f>IF(ISBLANK(AT107),AL107*'ratio of flow'!$D$1,AT107)</f>
        <v>1.6784637688251563E-4</v>
      </c>
      <c r="AN107" s="44" t="s">
        <v>52</v>
      </c>
      <c r="AO107" s="44" t="s">
        <v>53</v>
      </c>
      <c r="AP107" s="44" t="s">
        <v>53</v>
      </c>
      <c r="AQ107" s="44" t="s">
        <v>114</v>
      </c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1"/>
      <c r="BD107" s="41"/>
      <c r="BE107" s="41"/>
      <c r="BF107" s="41"/>
      <c r="BG107" s="41"/>
      <c r="BH107" s="41"/>
      <c r="BI107" s="41"/>
      <c r="BJ107" s="41"/>
      <c r="BK107" s="46">
        <f>IFERROR(VLOOKUP(AQ107,'Scoring and Weighting'!$B$10:$C$12,2,FALSE),'Scoring and Weighting'!$C$13)</f>
        <v>60</v>
      </c>
      <c r="BL107" s="46">
        <f>VLOOKUP(AM107,'Scoring and Weighting'!$C$19:$F$23,4)</f>
        <v>30</v>
      </c>
      <c r="BM107" s="47">
        <f t="shared" si="9"/>
        <v>40</v>
      </c>
      <c r="BN107" s="46">
        <f>IFERROR(VLOOKUP('Summary Table for Print'!AK107,'Scoring and Weighting'!$C$35:$F$39,4,1),30)</f>
        <v>50</v>
      </c>
      <c r="BO107" s="46">
        <f t="shared" si="12"/>
        <v>20</v>
      </c>
      <c r="BP107" s="47">
        <f>IFERROR(VLOOKUP(AN107,'Scoring and Weighting'!$B$63:$C$65,2,FALSE),1)</f>
        <v>1</v>
      </c>
      <c r="BQ107" s="49">
        <f>BK107*'Scoring and Weighting'!$C$55*'Summary Table for Print'!BP107</f>
        <v>15</v>
      </c>
      <c r="BR107" s="49">
        <f>BL107*BP107*'Scoring and Weighting'!$C$56</f>
        <v>7.5</v>
      </c>
      <c r="BS107" s="49">
        <f>BP107*BM107*'Scoring and Weighting'!$C$57</f>
        <v>10</v>
      </c>
      <c r="BT107" s="49">
        <f>BP107*BN107*'Scoring and Weighting'!$C$58</f>
        <v>5</v>
      </c>
      <c r="BU107" s="49">
        <f>BP107*BO107*'Scoring and Weighting'!$C$59</f>
        <v>3</v>
      </c>
      <c r="BV107" s="50">
        <f t="shared" si="10"/>
        <v>40.5</v>
      </c>
    </row>
    <row r="108" spans="1:74" x14ac:dyDescent="0.25">
      <c r="A108" s="41" t="s">
        <v>255</v>
      </c>
      <c r="B108" s="41"/>
      <c r="C108" s="41">
        <v>48</v>
      </c>
      <c r="D108" s="41"/>
      <c r="E108" s="41"/>
      <c r="F108" s="41">
        <v>9082</v>
      </c>
      <c r="G108" s="41" t="s">
        <v>49</v>
      </c>
      <c r="H108" s="41">
        <v>1</v>
      </c>
      <c r="I108" s="41">
        <v>0</v>
      </c>
      <c r="J108" s="41" t="str">
        <f>VLOOKUP(A108,'Table with Jurisdictions'!$A$4:$Q$129,17,0)</f>
        <v>Mission Viejo</v>
      </c>
      <c r="K108" s="41" t="s">
        <v>50</v>
      </c>
      <c r="L108" s="41"/>
      <c r="M108" s="41" t="s">
        <v>64</v>
      </c>
      <c r="N108" s="41">
        <v>10619.0299810373</v>
      </c>
      <c r="O108" s="41">
        <v>5430205.8138061604</v>
      </c>
      <c r="P108" s="42">
        <v>44.1084068721173</v>
      </c>
      <c r="Q108" s="41">
        <v>100</v>
      </c>
      <c r="R108" s="41">
        <v>66</v>
      </c>
      <c r="S108" s="41">
        <v>0</v>
      </c>
      <c r="T108" s="41">
        <v>0</v>
      </c>
      <c r="U108" s="41">
        <v>0</v>
      </c>
      <c r="V108" s="41">
        <v>0</v>
      </c>
      <c r="W108" s="41">
        <v>0</v>
      </c>
      <c r="X108" s="41">
        <v>0</v>
      </c>
      <c r="Y108" s="41">
        <v>0</v>
      </c>
      <c r="Z108" s="41">
        <v>100</v>
      </c>
      <c r="AA108" s="41">
        <v>0</v>
      </c>
      <c r="AB108" s="41">
        <v>0</v>
      </c>
      <c r="AC108" s="41">
        <v>0</v>
      </c>
      <c r="AD108" s="41">
        <v>0</v>
      </c>
      <c r="AE108" s="41">
        <v>2</v>
      </c>
      <c r="AF108" s="41">
        <v>0.35</v>
      </c>
      <c r="AG108" s="41">
        <v>7.4999999999999997E-3</v>
      </c>
      <c r="AH108" s="41">
        <v>1.0416666666666601</v>
      </c>
      <c r="AI108" s="41">
        <v>1.0624999999999999E-4</v>
      </c>
      <c r="AJ108" s="41">
        <v>6.7999999999999996E-3</v>
      </c>
      <c r="AK108" s="53">
        <f t="shared" si="11"/>
        <v>44.1084068721173</v>
      </c>
      <c r="AL108" s="43">
        <v>3.453125E-3</v>
      </c>
      <c r="AM108" s="43">
        <f>IF(ISBLANK(AT108),AL108*'ratio of flow'!$D$1,AT108)</f>
        <v>1.7046897652130493E-3</v>
      </c>
      <c r="AN108" s="44" t="s">
        <v>52</v>
      </c>
      <c r="AO108" s="44" t="s">
        <v>53</v>
      </c>
      <c r="AP108" s="44" t="s">
        <v>53</v>
      </c>
      <c r="AQ108" s="44" t="s">
        <v>114</v>
      </c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1"/>
      <c r="BD108" s="41"/>
      <c r="BE108" s="41"/>
      <c r="BF108" s="41"/>
      <c r="BG108" s="41"/>
      <c r="BH108" s="41"/>
      <c r="BI108" s="41"/>
      <c r="BJ108" s="41"/>
      <c r="BK108" s="46">
        <f>IFERROR(VLOOKUP(AQ108,'Scoring and Weighting'!$B$10:$C$12,2,FALSE),'Scoring and Weighting'!$C$13)</f>
        <v>60</v>
      </c>
      <c r="BL108" s="46">
        <f>VLOOKUP(AM108,'Scoring and Weighting'!$C$19:$F$23,4)</f>
        <v>30</v>
      </c>
      <c r="BM108" s="47">
        <f t="shared" si="9"/>
        <v>40</v>
      </c>
      <c r="BN108" s="46">
        <f>IFERROR(VLOOKUP('Summary Table for Print'!AK108,'Scoring and Weighting'!$C$35:$F$39,4,1),30)</f>
        <v>30</v>
      </c>
      <c r="BO108" s="46">
        <f t="shared" si="12"/>
        <v>60</v>
      </c>
      <c r="BP108" s="47">
        <f>IFERROR(VLOOKUP(AN108,'Scoring and Weighting'!$B$63:$C$65,2,FALSE),1)</f>
        <v>1</v>
      </c>
      <c r="BQ108" s="49">
        <f>BK108*'Scoring and Weighting'!$C$55*'Summary Table for Print'!BP108</f>
        <v>15</v>
      </c>
      <c r="BR108" s="49">
        <f>BL108*BP108*'Scoring and Weighting'!$C$56</f>
        <v>7.5</v>
      </c>
      <c r="BS108" s="49">
        <f>BP108*BM108*'Scoring and Weighting'!$C$57</f>
        <v>10</v>
      </c>
      <c r="BT108" s="49">
        <f>BP108*BN108*'Scoring and Weighting'!$C$58</f>
        <v>3</v>
      </c>
      <c r="BU108" s="49">
        <f>BP108*BO108*'Scoring and Weighting'!$C$59</f>
        <v>9</v>
      </c>
      <c r="BV108" s="50">
        <f t="shared" si="10"/>
        <v>44.5</v>
      </c>
    </row>
    <row r="109" spans="1:74" x14ac:dyDescent="0.25">
      <c r="A109" s="41" t="s">
        <v>226</v>
      </c>
      <c r="B109" s="41"/>
      <c r="C109" s="41">
        <v>36</v>
      </c>
      <c r="D109" s="41"/>
      <c r="E109" s="41"/>
      <c r="F109" s="41">
        <v>9109</v>
      </c>
      <c r="G109" s="41" t="s">
        <v>130</v>
      </c>
      <c r="H109" s="41">
        <v>1</v>
      </c>
      <c r="I109" s="41">
        <v>0</v>
      </c>
      <c r="J109" s="41" t="str">
        <f>VLOOKUP(A109,'Table with Jurisdictions'!$A$4:$Q$129,17,0)</f>
        <v>Mission Viejo</v>
      </c>
      <c r="K109" s="41" t="s">
        <v>50</v>
      </c>
      <c r="L109" s="41"/>
      <c r="M109" s="41" t="s">
        <v>64</v>
      </c>
      <c r="N109" s="41">
        <v>6944.9275085610598</v>
      </c>
      <c r="O109" s="41">
        <v>2423687.26310769</v>
      </c>
      <c r="P109" s="42">
        <v>123.714308632475</v>
      </c>
      <c r="Q109" s="41">
        <v>89</v>
      </c>
      <c r="R109" s="41">
        <v>13</v>
      </c>
      <c r="S109" s="41">
        <v>0</v>
      </c>
      <c r="T109" s="41">
        <v>0</v>
      </c>
      <c r="U109" s="41">
        <v>0</v>
      </c>
      <c r="V109" s="41">
        <v>0</v>
      </c>
      <c r="W109" s="41">
        <v>5</v>
      </c>
      <c r="X109" s="41">
        <v>0</v>
      </c>
      <c r="Y109" s="41">
        <v>0</v>
      </c>
      <c r="Z109" s="41">
        <v>95</v>
      </c>
      <c r="AA109" s="41">
        <v>0</v>
      </c>
      <c r="AB109" s="41">
        <v>0</v>
      </c>
      <c r="AC109" s="41">
        <v>0</v>
      </c>
      <c r="AD109" s="41">
        <v>0</v>
      </c>
      <c r="AE109" s="41">
        <v>2</v>
      </c>
      <c r="AF109" s="41">
        <v>2.25</v>
      </c>
      <c r="AG109" s="41">
        <v>6.0000000000000001E-3</v>
      </c>
      <c r="AH109" s="41">
        <v>1.45714285714285</v>
      </c>
      <c r="AI109" s="41">
        <v>4.4879999999999998E-3</v>
      </c>
      <c r="AJ109" s="41">
        <v>3.3514285714286003E-2</v>
      </c>
      <c r="AK109" s="53">
        <f t="shared" si="11"/>
        <v>110.10573468290275</v>
      </c>
      <c r="AL109" s="43">
        <v>1.9001142857143001E-2</v>
      </c>
      <c r="AM109" s="43">
        <f>IF(ISBLANK(AT109),AL109*'ratio of flow'!$D$1,AT109)</f>
        <v>9.3802146623486581E-3</v>
      </c>
      <c r="AN109" s="44" t="s">
        <v>52</v>
      </c>
      <c r="AO109" s="44" t="s">
        <v>53</v>
      </c>
      <c r="AP109" s="44" t="s">
        <v>53</v>
      </c>
      <c r="AQ109" s="44" t="s">
        <v>114</v>
      </c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1"/>
      <c r="BD109" s="41"/>
      <c r="BE109" s="41"/>
      <c r="BF109" s="41"/>
      <c r="BG109" s="41"/>
      <c r="BH109" s="41"/>
      <c r="BI109" s="41"/>
      <c r="BJ109" s="41"/>
      <c r="BK109" s="46">
        <f>IFERROR(VLOOKUP(AQ109,'Scoring and Weighting'!$B$10:$C$12,2,FALSE),'Scoring and Weighting'!$C$13)</f>
        <v>60</v>
      </c>
      <c r="BL109" s="46">
        <f>VLOOKUP(AM109,'Scoring and Weighting'!$C$19:$F$23,4)</f>
        <v>30</v>
      </c>
      <c r="BM109" s="47">
        <f t="shared" si="9"/>
        <v>40</v>
      </c>
      <c r="BN109" s="46">
        <f>IFERROR(VLOOKUP('Summary Table for Print'!AK109,'Scoring and Weighting'!$C$35:$F$39,4,1),30)</f>
        <v>30</v>
      </c>
      <c r="BO109" s="46">
        <f t="shared" si="12"/>
        <v>60</v>
      </c>
      <c r="BP109" s="47">
        <f>IFERROR(VLOOKUP(AN109,'Scoring and Weighting'!$B$63:$C$65,2,FALSE),1)</f>
        <v>1</v>
      </c>
      <c r="BQ109" s="49">
        <f>BK109*'Scoring and Weighting'!$C$55*'Summary Table for Print'!BP109</f>
        <v>15</v>
      </c>
      <c r="BR109" s="49">
        <f>BL109*BP109*'Scoring and Weighting'!$C$56</f>
        <v>7.5</v>
      </c>
      <c r="BS109" s="49">
        <f>BP109*BM109*'Scoring and Weighting'!$C$57</f>
        <v>10</v>
      </c>
      <c r="BT109" s="49">
        <f>BP109*BN109*'Scoring and Weighting'!$C$58</f>
        <v>3</v>
      </c>
      <c r="BU109" s="49">
        <f>BP109*BO109*'Scoring and Weighting'!$C$59</f>
        <v>9</v>
      </c>
      <c r="BV109" s="50">
        <f t="shared" si="10"/>
        <v>44.5</v>
      </c>
    </row>
    <row r="110" spans="1:74" x14ac:dyDescent="0.25">
      <c r="A110" s="41" t="s">
        <v>224</v>
      </c>
      <c r="B110" s="41"/>
      <c r="C110" s="41">
        <v>120</v>
      </c>
      <c r="D110" s="41"/>
      <c r="E110" s="41"/>
      <c r="F110" s="41">
        <v>32</v>
      </c>
      <c r="G110" s="41" t="s">
        <v>214</v>
      </c>
      <c r="H110" s="41">
        <v>1</v>
      </c>
      <c r="I110" s="41">
        <v>1</v>
      </c>
      <c r="J110" s="41" t="str">
        <f>VLOOKUP(A110,'Table with Jurisdictions'!$A$4:$Q$129,17,0)</f>
        <v>San Juan Capistrano</v>
      </c>
      <c r="K110" s="41" t="s">
        <v>50</v>
      </c>
      <c r="L110" s="41"/>
      <c r="M110" s="41" t="s">
        <v>64</v>
      </c>
      <c r="N110" s="41"/>
      <c r="O110" s="41"/>
      <c r="P110" s="42">
        <v>82.448032242400899</v>
      </c>
      <c r="Q110" s="41">
        <v>45</v>
      </c>
      <c r="R110" s="41">
        <v>0</v>
      </c>
      <c r="S110" s="41">
        <v>0</v>
      </c>
      <c r="T110" s="41">
        <v>0</v>
      </c>
      <c r="U110" s="41">
        <v>0</v>
      </c>
      <c r="V110" s="41">
        <v>0</v>
      </c>
      <c r="W110" s="41">
        <v>2</v>
      </c>
      <c r="X110" s="41">
        <v>0</v>
      </c>
      <c r="Y110" s="41">
        <v>0</v>
      </c>
      <c r="Z110" s="41">
        <v>0</v>
      </c>
      <c r="AA110" s="41">
        <v>0</v>
      </c>
      <c r="AB110" s="41">
        <v>0</v>
      </c>
      <c r="AC110" s="41">
        <v>0</v>
      </c>
      <c r="AD110" s="41">
        <v>98</v>
      </c>
      <c r="AE110" s="41">
        <v>1</v>
      </c>
      <c r="AF110" s="41">
        <v>0.35</v>
      </c>
      <c r="AG110" s="41">
        <v>0.01</v>
      </c>
      <c r="AH110" s="41">
        <v>0.4</v>
      </c>
      <c r="AI110" s="41">
        <v>1.1900000000000001E-3</v>
      </c>
      <c r="AJ110" s="41">
        <v>1.1900000000000001E-3</v>
      </c>
      <c r="AK110" s="53">
        <f t="shared" si="11"/>
        <v>37.101614509080406</v>
      </c>
      <c r="AL110" s="43">
        <v>1.1900000000000001E-3</v>
      </c>
      <c r="AM110" s="43">
        <f>IF(ISBLANK(AT110),AL110*'ratio of flow'!$D$1,AT110)</f>
        <v>5.8746231908880472E-4</v>
      </c>
      <c r="AN110" s="44"/>
      <c r="AO110" s="44"/>
      <c r="AP110" s="44"/>
      <c r="AQ110" s="44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1"/>
      <c r="BD110" s="41"/>
      <c r="BE110" s="41"/>
      <c r="BF110" s="41"/>
      <c r="BG110" s="41"/>
      <c r="BH110" s="41"/>
      <c r="BI110" s="41"/>
      <c r="BJ110" s="41"/>
      <c r="BK110" s="46">
        <f>IFERROR(VLOOKUP(AQ110,'Scoring and Weighting'!$B$10:$C$12,2,FALSE),'Scoring and Weighting'!$C$13)</f>
        <v>70</v>
      </c>
      <c r="BL110" s="46">
        <f>VLOOKUP(AM110,'Scoring and Weighting'!$C$19:$F$23,4)</f>
        <v>30</v>
      </c>
      <c r="BM110" s="47">
        <f t="shared" si="9"/>
        <v>40</v>
      </c>
      <c r="BN110" s="46">
        <f>IFERROR(VLOOKUP('Summary Table for Print'!AK110,'Scoring and Weighting'!$C$35:$F$39,4,1),30)</f>
        <v>30</v>
      </c>
      <c r="BO110" s="46">
        <f t="shared" si="12"/>
        <v>20</v>
      </c>
      <c r="BP110" s="47">
        <f>IFERROR(VLOOKUP(AN110,'Scoring and Weighting'!$B$63:$C$65,2,FALSE),1)</f>
        <v>1</v>
      </c>
      <c r="BQ110" s="49">
        <f>BK110*'Scoring and Weighting'!$C$55*'Summary Table for Print'!BP110</f>
        <v>17.5</v>
      </c>
      <c r="BR110" s="49">
        <f>BL110*BP110*'Scoring and Weighting'!$C$56</f>
        <v>7.5</v>
      </c>
      <c r="BS110" s="49">
        <f>BP110*BM110*'Scoring and Weighting'!$C$57</f>
        <v>10</v>
      </c>
      <c r="BT110" s="49">
        <f>BP110*BN110*'Scoring and Weighting'!$C$58</f>
        <v>3</v>
      </c>
      <c r="BU110" s="49">
        <f>BP110*BO110*'Scoring and Weighting'!$C$59</f>
        <v>3</v>
      </c>
      <c r="BV110" s="50">
        <f t="shared" si="10"/>
        <v>41</v>
      </c>
    </row>
    <row r="111" spans="1:74" x14ac:dyDescent="0.25">
      <c r="A111" s="41" t="s">
        <v>266</v>
      </c>
      <c r="B111" s="41" t="s">
        <v>259</v>
      </c>
      <c r="C111" s="41">
        <v>24</v>
      </c>
      <c r="D111" s="41"/>
      <c r="E111" s="41"/>
      <c r="F111" s="41">
        <v>11509</v>
      </c>
      <c r="G111" s="41" t="s">
        <v>148</v>
      </c>
      <c r="H111" s="41">
        <v>1</v>
      </c>
      <c r="I111" s="41">
        <v>0</v>
      </c>
      <c r="J111" s="41" t="s">
        <v>527</v>
      </c>
      <c r="K111" s="41" t="s">
        <v>50</v>
      </c>
      <c r="L111" s="41"/>
      <c r="M111" s="41" t="s">
        <v>64</v>
      </c>
      <c r="N111" s="41"/>
      <c r="O111" s="41"/>
      <c r="P111" s="42" t="s">
        <v>527</v>
      </c>
      <c r="Q111" s="41" t="s">
        <v>527</v>
      </c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>
        <v>1</v>
      </c>
      <c r="AF111" s="41">
        <v>0.38</v>
      </c>
      <c r="AG111" s="41">
        <v>0.01</v>
      </c>
      <c r="AH111" s="41">
        <v>0.75</v>
      </c>
      <c r="AI111" s="41">
        <v>2.4225000000000002E-3</v>
      </c>
      <c r="AJ111" s="41">
        <v>2.4225000000000002E-3</v>
      </c>
      <c r="AK111" s="53" t="e">
        <f t="shared" si="11"/>
        <v>#VALUE!</v>
      </c>
      <c r="AL111" s="43">
        <v>2.4225000000000002E-3</v>
      </c>
      <c r="AM111" s="43">
        <f>IF(ISBLANK(AT111),AL111*'ratio of flow'!$D$1,AT111)</f>
        <v>1.1959054352879239E-3</v>
      </c>
      <c r="AN111" s="44"/>
      <c r="AO111" s="44"/>
      <c r="AP111" s="44"/>
      <c r="AQ111" s="44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1"/>
      <c r="BD111" s="41"/>
      <c r="BE111" s="41"/>
      <c r="BF111" s="41"/>
      <c r="BG111" s="41"/>
      <c r="BH111" s="41"/>
      <c r="BI111" s="41"/>
      <c r="BJ111" s="41"/>
      <c r="BK111" s="46">
        <f>IFERROR(VLOOKUP(AQ111,'Scoring and Weighting'!$B$10:$C$12,2,FALSE),'Scoring and Weighting'!$C$13)</f>
        <v>70</v>
      </c>
      <c r="BL111" s="46">
        <f>VLOOKUP(AM111,'Scoring and Weighting'!$C$19:$F$23,4)</f>
        <v>30</v>
      </c>
      <c r="BM111" s="47">
        <f t="shared" si="9"/>
        <v>40</v>
      </c>
      <c r="BN111" s="46">
        <f>IFERROR(VLOOKUP('Summary Table for Print'!AK111,'Scoring and Weighting'!$C$35:$F$39,4,1),30)</f>
        <v>30</v>
      </c>
      <c r="BO111" s="46">
        <f t="shared" si="12"/>
        <v>20</v>
      </c>
      <c r="BP111" s="47">
        <f>IFERROR(VLOOKUP(AN111,'Scoring and Weighting'!$B$63:$C$65,2,FALSE),1)</f>
        <v>1</v>
      </c>
      <c r="BQ111" s="49">
        <f>BK111*'Scoring and Weighting'!$C$55*'Summary Table for Print'!BP111</f>
        <v>17.5</v>
      </c>
      <c r="BR111" s="49">
        <f>BL111*BP111*'Scoring and Weighting'!$C$56</f>
        <v>7.5</v>
      </c>
      <c r="BS111" s="49">
        <f>BP111*BM111*'Scoring and Weighting'!$C$57</f>
        <v>10</v>
      </c>
      <c r="BT111" s="49">
        <f>BP111*BN111*'Scoring and Weighting'!$C$58</f>
        <v>3</v>
      </c>
      <c r="BU111" s="49">
        <f>BP111*BO111*'Scoring and Weighting'!$C$59</f>
        <v>3</v>
      </c>
      <c r="BV111" s="50">
        <f t="shared" si="10"/>
        <v>41</v>
      </c>
    </row>
    <row r="112" spans="1:74" x14ac:dyDescent="0.25">
      <c r="A112" s="41" t="s">
        <v>251</v>
      </c>
      <c r="B112" s="41" t="s">
        <v>260</v>
      </c>
      <c r="C112" s="41">
        <v>36</v>
      </c>
      <c r="D112" s="41"/>
      <c r="E112" s="41"/>
      <c r="F112" s="41">
        <v>11508</v>
      </c>
      <c r="G112" s="41" t="s">
        <v>261</v>
      </c>
      <c r="H112" s="41">
        <v>1</v>
      </c>
      <c r="I112" s="41">
        <v>0</v>
      </c>
      <c r="J112" s="41" t="str">
        <f>VLOOKUP(A112,'Table with Jurisdictions'!$A$4:$Q$129,17,0)</f>
        <v>Multiple</v>
      </c>
      <c r="K112" s="41" t="s">
        <v>50</v>
      </c>
      <c r="L112" s="41"/>
      <c r="M112" s="41" t="s">
        <v>64</v>
      </c>
      <c r="N112" s="41"/>
      <c r="O112" s="41"/>
      <c r="P112" s="42">
        <v>23.754710991463401</v>
      </c>
      <c r="Q112" s="41">
        <v>57</v>
      </c>
      <c r="R112" s="41">
        <v>2</v>
      </c>
      <c r="S112" s="41">
        <v>0</v>
      </c>
      <c r="T112" s="41">
        <v>0</v>
      </c>
      <c r="U112" s="41">
        <v>0</v>
      </c>
      <c r="V112" s="41">
        <v>0</v>
      </c>
      <c r="W112" s="41">
        <v>88</v>
      </c>
      <c r="X112" s="41">
        <v>0</v>
      </c>
      <c r="Y112" s="41">
        <v>0</v>
      </c>
      <c r="Z112" s="41">
        <v>0</v>
      </c>
      <c r="AA112" s="41">
        <v>0</v>
      </c>
      <c r="AB112" s="41">
        <v>0</v>
      </c>
      <c r="AC112" s="41">
        <v>0</v>
      </c>
      <c r="AD112" s="41">
        <v>12</v>
      </c>
      <c r="AE112" s="41">
        <v>3</v>
      </c>
      <c r="AF112" s="41">
        <v>0.37666666666666698</v>
      </c>
      <c r="AG112" s="41">
        <v>2.3333333333333001E-2</v>
      </c>
      <c r="AH112" s="41">
        <v>1.4</v>
      </c>
      <c r="AI112" s="41">
        <v>2.5500000000000002E-3</v>
      </c>
      <c r="AJ112" s="41">
        <v>2.1624000000000001E-2</v>
      </c>
      <c r="AK112" s="53">
        <f t="shared" si="11"/>
        <v>13.54018526513414</v>
      </c>
      <c r="AL112" s="43">
        <v>1.1457999999999999E-2</v>
      </c>
      <c r="AM112" s="43">
        <f>IF(ISBLANK(AT112),AL112*'ratio of flow'!$D$1,AT112)</f>
        <v>5.6564229009407763E-3</v>
      </c>
      <c r="AN112" s="44" t="s">
        <v>52</v>
      </c>
      <c r="AO112" s="44" t="s">
        <v>53</v>
      </c>
      <c r="AP112" s="44" t="s">
        <v>53</v>
      </c>
      <c r="AQ112" s="44" t="s">
        <v>114</v>
      </c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1"/>
      <c r="BD112" s="41"/>
      <c r="BE112" s="41"/>
      <c r="BF112" s="41"/>
      <c r="BG112" s="41"/>
      <c r="BH112" s="41"/>
      <c r="BI112" s="41"/>
      <c r="BJ112" s="41"/>
      <c r="BK112" s="46">
        <f>IFERROR(VLOOKUP(AQ112,'Scoring and Weighting'!$B$10:$C$12,2,FALSE),'Scoring and Weighting'!$C$13)</f>
        <v>60</v>
      </c>
      <c r="BL112" s="46">
        <f>VLOOKUP(AM112,'Scoring and Weighting'!$C$19:$F$23,4)</f>
        <v>30</v>
      </c>
      <c r="BM112" s="47">
        <f t="shared" si="9"/>
        <v>40</v>
      </c>
      <c r="BN112" s="46">
        <f>IFERROR(VLOOKUP('Summary Table for Print'!AK112,'Scoring and Weighting'!$C$35:$F$39,4,1),30)</f>
        <v>30</v>
      </c>
      <c r="BO112" s="46">
        <f t="shared" si="12"/>
        <v>60</v>
      </c>
      <c r="BP112" s="47">
        <f>IFERROR(VLOOKUP(AN112,'Scoring and Weighting'!$B$63:$C$65,2,FALSE),1)</f>
        <v>1</v>
      </c>
      <c r="BQ112" s="49">
        <f>BK112*'Scoring and Weighting'!$C$55*'Summary Table for Print'!BP112</f>
        <v>15</v>
      </c>
      <c r="BR112" s="49">
        <f>BL112*BP112*'Scoring and Weighting'!$C$56</f>
        <v>7.5</v>
      </c>
      <c r="BS112" s="49">
        <f>BP112*BM112*'Scoring and Weighting'!$C$57</f>
        <v>10</v>
      </c>
      <c r="BT112" s="49">
        <f>BP112*BN112*'Scoring and Weighting'!$C$58</f>
        <v>3</v>
      </c>
      <c r="BU112" s="49">
        <f>BP112*BO112*'Scoring and Weighting'!$C$59</f>
        <v>9</v>
      </c>
      <c r="BV112" s="50">
        <f t="shared" si="10"/>
        <v>44.5</v>
      </c>
    </row>
    <row r="113" spans="1:74" x14ac:dyDescent="0.25">
      <c r="A113" s="41" t="s">
        <v>225</v>
      </c>
      <c r="B113" s="41" t="s">
        <v>262</v>
      </c>
      <c r="C113" s="41">
        <v>36</v>
      </c>
      <c r="D113" s="41"/>
      <c r="E113" s="41"/>
      <c r="F113" s="41">
        <v>35</v>
      </c>
      <c r="G113" s="41" t="s">
        <v>263</v>
      </c>
      <c r="H113" s="41">
        <v>1</v>
      </c>
      <c r="I113" s="41">
        <v>0</v>
      </c>
      <c r="J113" s="41" t="str">
        <f>VLOOKUP(A113,'Table with Jurisdictions'!$A$4:$Q$129,17,0)</f>
        <v>Multiple</v>
      </c>
      <c r="K113" s="41" t="s">
        <v>50</v>
      </c>
      <c r="L113" s="41"/>
      <c r="M113" s="41" t="s">
        <v>64</v>
      </c>
      <c r="N113" s="41"/>
      <c r="O113" s="41"/>
      <c r="P113" s="42">
        <v>64.214352139165698</v>
      </c>
      <c r="Q113" s="41">
        <v>50</v>
      </c>
      <c r="R113" s="41">
        <v>40</v>
      </c>
      <c r="S113" s="41">
        <v>0</v>
      </c>
      <c r="T113" s="41">
        <v>0</v>
      </c>
      <c r="U113" s="41">
        <v>0</v>
      </c>
      <c r="V113" s="41">
        <v>0</v>
      </c>
      <c r="W113" s="41">
        <v>86</v>
      </c>
      <c r="X113" s="41">
        <v>0</v>
      </c>
      <c r="Y113" s="41">
        <v>0</v>
      </c>
      <c r="Z113" s="41">
        <v>0</v>
      </c>
      <c r="AA113" s="41">
        <v>0</v>
      </c>
      <c r="AB113" s="41">
        <v>0</v>
      </c>
      <c r="AC113" s="41">
        <v>0</v>
      </c>
      <c r="AD113" s="41">
        <v>14</v>
      </c>
      <c r="AE113" s="41">
        <v>3</v>
      </c>
      <c r="AF113" s="41">
        <v>0.51666666666666705</v>
      </c>
      <c r="AG113" s="41">
        <v>1.3333333333332999E-2</v>
      </c>
      <c r="AH113" s="41">
        <v>3.6666666666666599</v>
      </c>
      <c r="AI113" s="41">
        <v>1.4024999999999999E-2</v>
      </c>
      <c r="AJ113" s="41">
        <v>2.7199999999999998E-2</v>
      </c>
      <c r="AK113" s="53">
        <f t="shared" si="11"/>
        <v>32.107176069582849</v>
      </c>
      <c r="AL113" s="43">
        <v>2.0541666666666999E-2</v>
      </c>
      <c r="AM113" s="43">
        <f>IF(ISBLANK(AT113),AL113*'ratio of flow'!$D$1,AT113)</f>
        <v>1.0140718603318817E-2</v>
      </c>
      <c r="AN113" s="44" t="s">
        <v>52</v>
      </c>
      <c r="AO113" s="44" t="s">
        <v>53</v>
      </c>
      <c r="AP113" s="44" t="s">
        <v>53</v>
      </c>
      <c r="AQ113" s="44" t="s">
        <v>114</v>
      </c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1"/>
      <c r="BD113" s="41"/>
      <c r="BE113" s="41"/>
      <c r="BF113" s="41"/>
      <c r="BG113" s="41"/>
      <c r="BH113" s="41"/>
      <c r="BI113" s="41"/>
      <c r="BJ113" s="41"/>
      <c r="BK113" s="46">
        <f>IFERROR(VLOOKUP(AQ113,'Scoring and Weighting'!$B$10:$C$12,2,FALSE),'Scoring and Weighting'!$C$13)</f>
        <v>60</v>
      </c>
      <c r="BL113" s="46">
        <f>VLOOKUP(AM113,'Scoring and Weighting'!$C$19:$F$23,4)</f>
        <v>30</v>
      </c>
      <c r="BM113" s="47">
        <f t="shared" si="9"/>
        <v>40</v>
      </c>
      <c r="BN113" s="46">
        <f>IFERROR(VLOOKUP('Summary Table for Print'!AK113,'Scoring and Weighting'!$C$35:$F$39,4,1),30)</f>
        <v>30</v>
      </c>
      <c r="BO113" s="46">
        <f t="shared" si="12"/>
        <v>60</v>
      </c>
      <c r="BP113" s="47">
        <f>IFERROR(VLOOKUP(AN113,'Scoring and Weighting'!$B$63:$C$65,2,FALSE),1)</f>
        <v>1</v>
      </c>
      <c r="BQ113" s="49">
        <f>BK113*'Scoring and Weighting'!$C$55*'Summary Table for Print'!BP113</f>
        <v>15</v>
      </c>
      <c r="BR113" s="49">
        <f>BL113*BP113*'Scoring and Weighting'!$C$56</f>
        <v>7.5</v>
      </c>
      <c r="BS113" s="49">
        <f>BP113*BM113*'Scoring and Weighting'!$C$57</f>
        <v>10</v>
      </c>
      <c r="BT113" s="49">
        <f>BP113*BN113*'Scoring and Weighting'!$C$58</f>
        <v>3</v>
      </c>
      <c r="BU113" s="49">
        <f>BP113*BO113*'Scoring and Weighting'!$C$59</f>
        <v>9</v>
      </c>
      <c r="BV113" s="50">
        <f t="shared" si="10"/>
        <v>44.5</v>
      </c>
    </row>
    <row r="114" spans="1:74" x14ac:dyDescent="0.25">
      <c r="A114" s="41" t="s">
        <v>115</v>
      </c>
      <c r="B114" s="41" t="s">
        <v>265</v>
      </c>
      <c r="C114" s="41">
        <v>96</v>
      </c>
      <c r="D114" s="41"/>
      <c r="E114" s="41"/>
      <c r="F114" s="41">
        <v>641</v>
      </c>
      <c r="G114" s="41" t="s">
        <v>62</v>
      </c>
      <c r="H114" s="41">
        <v>1</v>
      </c>
      <c r="I114" s="41">
        <v>0</v>
      </c>
      <c r="J114" s="41" t="str">
        <f>VLOOKUP(A114,'Table with Jurisdictions'!$A$4:$Q$129,17,0)</f>
        <v>Mission Viejo</v>
      </c>
      <c r="K114" s="41" t="s">
        <v>50</v>
      </c>
      <c r="L114" s="41"/>
      <c r="M114" s="41" t="s">
        <v>64</v>
      </c>
      <c r="N114" s="41"/>
      <c r="O114" s="41"/>
      <c r="P114" s="42">
        <v>279.812104758516</v>
      </c>
      <c r="Q114" s="41">
        <v>99</v>
      </c>
      <c r="R114" s="41">
        <v>89</v>
      </c>
      <c r="S114" s="41">
        <v>0</v>
      </c>
      <c r="T114" s="41">
        <v>0</v>
      </c>
      <c r="U114" s="41">
        <v>0</v>
      </c>
      <c r="V114" s="41">
        <v>0</v>
      </c>
      <c r="W114" s="41">
        <v>0</v>
      </c>
      <c r="X114" s="41">
        <v>0</v>
      </c>
      <c r="Y114" s="41">
        <v>0</v>
      </c>
      <c r="Z114" s="41">
        <v>100</v>
      </c>
      <c r="AA114" s="41">
        <v>0</v>
      </c>
      <c r="AB114" s="41">
        <v>0</v>
      </c>
      <c r="AC114" s="41">
        <v>0</v>
      </c>
      <c r="AD114" s="41">
        <v>0</v>
      </c>
      <c r="AE114" s="41">
        <v>1</v>
      </c>
      <c r="AF114" s="41">
        <v>0.65</v>
      </c>
      <c r="AG114" s="41">
        <v>0.03</v>
      </c>
      <c r="AH114" s="41">
        <v>4.6153846153846096</v>
      </c>
      <c r="AI114" s="41">
        <v>7.6499999999999999E-2</v>
      </c>
      <c r="AJ114" s="41">
        <v>7.6499999999999999E-2</v>
      </c>
      <c r="AK114" s="53">
        <f t="shared" si="11"/>
        <v>277.01398371093086</v>
      </c>
      <c r="AL114" s="43">
        <v>7.6499999999999999E-2</v>
      </c>
      <c r="AM114" s="43">
        <f>IF(ISBLANK(AT114),AL114*'ratio of flow'!$D$1,AT114)</f>
        <v>3.7765434798566012E-2</v>
      </c>
      <c r="AN114" s="44" t="s">
        <v>52</v>
      </c>
      <c r="AO114" s="44" t="s">
        <v>53</v>
      </c>
      <c r="AP114" s="44" t="s">
        <v>53</v>
      </c>
      <c r="AQ114" s="44" t="s">
        <v>114</v>
      </c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1"/>
      <c r="BD114" s="41"/>
      <c r="BE114" s="41"/>
      <c r="BF114" s="41"/>
      <c r="BG114" s="41"/>
      <c r="BH114" s="41"/>
      <c r="BI114" s="41"/>
      <c r="BJ114" s="41"/>
      <c r="BK114" s="46">
        <f>IFERROR(VLOOKUP(AQ114,'Scoring and Weighting'!$B$10:$C$12,2,FALSE),'Scoring and Weighting'!$C$13)</f>
        <v>60</v>
      </c>
      <c r="BL114" s="46">
        <f>VLOOKUP(AM114,'Scoring and Weighting'!$C$19:$F$23,4)</f>
        <v>50</v>
      </c>
      <c r="BM114" s="47">
        <f t="shared" si="9"/>
        <v>40</v>
      </c>
      <c r="BN114" s="46">
        <f>IFERROR(VLOOKUP('Summary Table for Print'!AK114,'Scoring and Weighting'!$C$35:$F$39,4,1),30)</f>
        <v>70</v>
      </c>
      <c r="BO114" s="46">
        <f t="shared" si="12"/>
        <v>20</v>
      </c>
      <c r="BP114" s="47">
        <f>IFERROR(VLOOKUP(AN114,'Scoring and Weighting'!$B$63:$C$65,2,FALSE),1)</f>
        <v>1</v>
      </c>
      <c r="BQ114" s="49">
        <f>BK114*'Scoring and Weighting'!$C$55*'Summary Table for Print'!BP114</f>
        <v>15</v>
      </c>
      <c r="BR114" s="49">
        <f>BL114*BP114*'Scoring and Weighting'!$C$56</f>
        <v>12.5</v>
      </c>
      <c r="BS114" s="49">
        <f>BP114*BM114*'Scoring and Weighting'!$C$57</f>
        <v>10</v>
      </c>
      <c r="BT114" s="49">
        <f>BP114*BN114*'Scoring and Weighting'!$C$58</f>
        <v>7</v>
      </c>
      <c r="BU114" s="49">
        <f>BP114*BO114*'Scoring and Weighting'!$C$59</f>
        <v>3</v>
      </c>
      <c r="BV114" s="50">
        <f t="shared" si="10"/>
        <v>47.5</v>
      </c>
    </row>
    <row r="115" spans="1:74" x14ac:dyDescent="0.25">
      <c r="A115" s="41" t="s">
        <v>227</v>
      </c>
      <c r="B115" s="41"/>
      <c r="C115" s="41"/>
      <c r="D115" s="41">
        <v>78</v>
      </c>
      <c r="E115" s="41">
        <v>36</v>
      </c>
      <c r="F115" s="41">
        <v>455</v>
      </c>
      <c r="G115" s="41" t="s">
        <v>109</v>
      </c>
      <c r="H115" s="41">
        <v>1</v>
      </c>
      <c r="I115" s="41">
        <v>1</v>
      </c>
      <c r="J115" s="41" t="str">
        <f>VLOOKUP(A115,'Table with Jurisdictions'!$A$4:$Q$129,17,0)</f>
        <v>Laguna Niguel</v>
      </c>
      <c r="K115" s="41" t="s">
        <v>50</v>
      </c>
      <c r="L115" s="41"/>
      <c r="M115" s="41" t="s">
        <v>64</v>
      </c>
      <c r="N115" s="41"/>
      <c r="O115" s="41"/>
      <c r="P115" s="42">
        <v>108.98900417237</v>
      </c>
      <c r="Q115" s="41">
        <v>47</v>
      </c>
      <c r="R115" s="41">
        <v>17</v>
      </c>
      <c r="S115" s="41">
        <v>0</v>
      </c>
      <c r="T115" s="41">
        <v>0</v>
      </c>
      <c r="U115" s="41">
        <v>0</v>
      </c>
      <c r="V115" s="41">
        <v>0</v>
      </c>
      <c r="W115" s="41">
        <v>100</v>
      </c>
      <c r="X115" s="41">
        <v>0</v>
      </c>
      <c r="Y115" s="41">
        <v>0</v>
      </c>
      <c r="Z115" s="41">
        <v>0</v>
      </c>
      <c r="AA115" s="41">
        <v>0</v>
      </c>
      <c r="AB115" s="41">
        <v>0</v>
      </c>
      <c r="AC115" s="41">
        <v>0</v>
      </c>
      <c r="AD115" s="41">
        <v>0</v>
      </c>
      <c r="AE115" s="41">
        <v>2</v>
      </c>
      <c r="AF115" s="41">
        <v>1.2250000000000001</v>
      </c>
      <c r="AG115" s="41">
        <v>6.5000000000000002E-2</v>
      </c>
      <c r="AH115" s="41">
        <v>0.35416666666666702</v>
      </c>
      <c r="AI115" s="41">
        <v>1.0625000000000001E-2</v>
      </c>
      <c r="AJ115" s="41">
        <v>4.335E-2</v>
      </c>
      <c r="AK115" s="53">
        <f t="shared" si="11"/>
        <v>51.224831961013898</v>
      </c>
      <c r="AL115" s="43">
        <v>2.6987500000000001E-2</v>
      </c>
      <c r="AM115" s="43">
        <f>IF(ISBLANK(AT115),AL115*'ratio of flow'!$D$1,AT115)</f>
        <v>1.3322806165049678E-2</v>
      </c>
      <c r="AN115" s="44"/>
      <c r="AO115" s="44"/>
      <c r="AP115" s="44"/>
      <c r="AQ115" s="44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1"/>
      <c r="BD115" s="41"/>
      <c r="BE115" s="41"/>
      <c r="BF115" s="41"/>
      <c r="BG115" s="41"/>
      <c r="BH115" s="41"/>
      <c r="BI115" s="41"/>
      <c r="BJ115" s="41"/>
      <c r="BK115" s="46">
        <f>IFERROR(VLOOKUP(AQ115,'Scoring and Weighting'!$B$10:$C$12,2,FALSE),'Scoring and Weighting'!$C$13)</f>
        <v>70</v>
      </c>
      <c r="BL115" s="46">
        <f>VLOOKUP(AM115,'Scoring and Weighting'!$C$19:$F$23,4)</f>
        <v>30</v>
      </c>
      <c r="BM115" s="47">
        <f t="shared" si="9"/>
        <v>40</v>
      </c>
      <c r="BN115" s="46">
        <f>IFERROR(VLOOKUP('Summary Table for Print'!AK115,'Scoring and Weighting'!$C$35:$F$39,4,1),30)</f>
        <v>30</v>
      </c>
      <c r="BO115" s="46">
        <f t="shared" si="12"/>
        <v>40</v>
      </c>
      <c r="BP115" s="47">
        <f>IFERROR(VLOOKUP(AN115,'Scoring and Weighting'!$B$63:$C$65,2,FALSE),1)</f>
        <v>1</v>
      </c>
      <c r="BQ115" s="49">
        <f>BK115*'Scoring and Weighting'!$C$55*'Summary Table for Print'!BP115</f>
        <v>17.5</v>
      </c>
      <c r="BR115" s="49">
        <f>BL115*BP115*'Scoring and Weighting'!$C$56</f>
        <v>7.5</v>
      </c>
      <c r="BS115" s="49">
        <f>BP115*BM115*'Scoring and Weighting'!$C$57</f>
        <v>10</v>
      </c>
      <c r="BT115" s="49">
        <f>BP115*BN115*'Scoring and Weighting'!$C$58</f>
        <v>3</v>
      </c>
      <c r="BU115" s="49">
        <f>BP115*BO115*'Scoring and Weighting'!$C$59</f>
        <v>6</v>
      </c>
      <c r="BV115" s="50">
        <f t="shared" si="10"/>
        <v>44</v>
      </c>
    </row>
    <row r="116" spans="1:74" x14ac:dyDescent="0.25">
      <c r="A116" s="41" t="s">
        <v>274</v>
      </c>
      <c r="B116" s="41" t="s">
        <v>229</v>
      </c>
      <c r="C116" s="41">
        <v>48</v>
      </c>
      <c r="D116" s="41"/>
      <c r="E116" s="41"/>
      <c r="F116" s="41">
        <v>266</v>
      </c>
      <c r="G116" s="41" t="s">
        <v>102</v>
      </c>
      <c r="H116" s="41">
        <v>2</v>
      </c>
      <c r="I116" s="41">
        <v>0</v>
      </c>
      <c r="J116" s="41" t="s">
        <v>527</v>
      </c>
      <c r="K116" s="41" t="s">
        <v>50</v>
      </c>
      <c r="L116" s="41"/>
      <c r="M116" s="41" t="s">
        <v>64</v>
      </c>
      <c r="N116" s="41"/>
      <c r="O116" s="41"/>
      <c r="P116" s="42" t="s">
        <v>527</v>
      </c>
      <c r="Q116" s="41" t="s">
        <v>527</v>
      </c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>
        <v>1</v>
      </c>
      <c r="AF116" s="41">
        <v>1.1499999999999999</v>
      </c>
      <c r="AG116" s="41">
        <v>0.04</v>
      </c>
      <c r="AH116" s="41">
        <v>1.2</v>
      </c>
      <c r="AI116" s="41">
        <v>4.6920000000000003E-2</v>
      </c>
      <c r="AJ116" s="41">
        <v>4.6920000000000003E-2</v>
      </c>
      <c r="AK116" s="53" t="e">
        <f t="shared" si="11"/>
        <v>#VALUE!</v>
      </c>
      <c r="AL116" s="43">
        <v>4.6920000000000003E-2</v>
      </c>
      <c r="AM116" s="43">
        <f>IF(ISBLANK(AT116),AL116*'ratio of flow'!$D$1,AT116)</f>
        <v>2.3162800009787158E-2</v>
      </c>
      <c r="AN116" s="44"/>
      <c r="AO116" s="44"/>
      <c r="AP116" s="44"/>
      <c r="AQ116" s="44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1"/>
      <c r="BD116" s="41"/>
      <c r="BE116" s="41"/>
      <c r="BF116" s="41"/>
      <c r="BG116" s="41"/>
      <c r="BH116" s="41"/>
      <c r="BI116" s="41"/>
      <c r="BJ116" s="41"/>
      <c r="BK116" s="46">
        <f>IFERROR(VLOOKUP(AQ116,'Scoring and Weighting'!$B$10:$C$12,2,FALSE),'Scoring and Weighting'!$C$13)</f>
        <v>70</v>
      </c>
      <c r="BL116" s="46">
        <f>VLOOKUP(AM116,'Scoring and Weighting'!$C$19:$F$23,4)</f>
        <v>50</v>
      </c>
      <c r="BM116" s="47">
        <f t="shared" si="9"/>
        <v>40</v>
      </c>
      <c r="BN116" s="46">
        <f>IFERROR(VLOOKUP('Summary Table for Print'!AK116,'Scoring and Weighting'!$C$35:$F$39,4,1),30)</f>
        <v>30</v>
      </c>
      <c r="BO116" s="46">
        <f t="shared" si="12"/>
        <v>20</v>
      </c>
      <c r="BP116" s="47">
        <f>IFERROR(VLOOKUP(AN116,'Scoring and Weighting'!$B$63:$C$65,2,FALSE),1)</f>
        <v>1</v>
      </c>
      <c r="BQ116" s="49">
        <f>BK116*'Scoring and Weighting'!$C$55*'Summary Table for Print'!BP116</f>
        <v>17.5</v>
      </c>
      <c r="BR116" s="49">
        <f>BL116*BP116*'Scoring and Weighting'!$C$56</f>
        <v>12.5</v>
      </c>
      <c r="BS116" s="49">
        <f>BP116*BM116*'Scoring and Weighting'!$C$57</f>
        <v>10</v>
      </c>
      <c r="BT116" s="49">
        <f>BP116*BN116*'Scoring and Weighting'!$C$58</f>
        <v>3</v>
      </c>
      <c r="BU116" s="49">
        <f>BP116*BO116*'Scoring and Weighting'!$C$59</f>
        <v>3</v>
      </c>
      <c r="BV116" s="50">
        <f t="shared" si="10"/>
        <v>46</v>
      </c>
    </row>
    <row r="117" spans="1:74" x14ac:dyDescent="0.25">
      <c r="A117" s="41" t="s">
        <v>228</v>
      </c>
      <c r="B117" s="41"/>
      <c r="C117" s="41">
        <v>42</v>
      </c>
      <c r="D117" s="41"/>
      <c r="E117" s="41"/>
      <c r="F117" s="41">
        <v>316</v>
      </c>
      <c r="G117" s="41" t="s">
        <v>109</v>
      </c>
      <c r="H117" s="41">
        <v>1</v>
      </c>
      <c r="I117" s="41">
        <v>0</v>
      </c>
      <c r="J117" s="41" t="str">
        <f>VLOOKUP(A117,'Table with Jurisdictions'!$A$4:$Q$129,17,0)</f>
        <v>Mission Viejo</v>
      </c>
      <c r="K117" s="41" t="s">
        <v>50</v>
      </c>
      <c r="L117" s="41"/>
      <c r="M117" s="41" t="s">
        <v>64</v>
      </c>
      <c r="N117" s="41"/>
      <c r="O117" s="41"/>
      <c r="P117" s="42">
        <v>191.83607914214099</v>
      </c>
      <c r="Q117" s="41">
        <v>97</v>
      </c>
      <c r="R117" s="41">
        <v>70</v>
      </c>
      <c r="S117" s="41">
        <v>0</v>
      </c>
      <c r="T117" s="41">
        <v>0</v>
      </c>
      <c r="U117" s="41">
        <v>0</v>
      </c>
      <c r="V117" s="41">
        <v>0</v>
      </c>
      <c r="W117" s="41">
        <v>0</v>
      </c>
      <c r="X117" s="41">
        <v>0</v>
      </c>
      <c r="Y117" s="41">
        <v>0</v>
      </c>
      <c r="Z117" s="41">
        <v>100</v>
      </c>
      <c r="AA117" s="41">
        <v>0</v>
      </c>
      <c r="AB117" s="41">
        <v>0</v>
      </c>
      <c r="AC117" s="41">
        <v>0</v>
      </c>
      <c r="AD117" s="41">
        <v>0</v>
      </c>
      <c r="AE117" s="41">
        <v>2</v>
      </c>
      <c r="AF117" s="41">
        <v>0.55000000000000004</v>
      </c>
      <c r="AG117" s="41">
        <v>0.01</v>
      </c>
      <c r="AH117" s="41">
        <v>0.78901734104046195</v>
      </c>
      <c r="AI117" s="41">
        <v>2.5500000000000002E-3</v>
      </c>
      <c r="AJ117" s="41">
        <v>3.93063583815E-3</v>
      </c>
      <c r="AK117" s="53">
        <f t="shared" si="11"/>
        <v>186.08099676787674</v>
      </c>
      <c r="AL117" s="43">
        <v>3.2403179190750001E-3</v>
      </c>
      <c r="AM117" s="43">
        <f>IF(ISBLANK(AT117),AL117*'ratio of flow'!$D$1,AT117)</f>
        <v>1.5996341843065624E-3</v>
      </c>
      <c r="AN117" s="44"/>
      <c r="AO117" s="44"/>
      <c r="AP117" s="44"/>
      <c r="AQ117" s="44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1"/>
      <c r="BD117" s="41"/>
      <c r="BE117" s="41"/>
      <c r="BF117" s="41"/>
      <c r="BG117" s="41"/>
      <c r="BH117" s="41"/>
      <c r="BI117" s="41"/>
      <c r="BJ117" s="41"/>
      <c r="BK117" s="46">
        <f>IFERROR(VLOOKUP(AQ117,'Scoring and Weighting'!$B$10:$C$12,2,FALSE),'Scoring and Weighting'!$C$13)</f>
        <v>70</v>
      </c>
      <c r="BL117" s="46">
        <f>VLOOKUP(AM117,'Scoring and Weighting'!$C$19:$F$23,4)</f>
        <v>30</v>
      </c>
      <c r="BM117" s="47">
        <f t="shared" si="9"/>
        <v>40</v>
      </c>
      <c r="BN117" s="46">
        <f>IFERROR(VLOOKUP('Summary Table for Print'!AK117,'Scoring and Weighting'!$C$35:$F$39,4,1),30)</f>
        <v>50</v>
      </c>
      <c r="BO117" s="46">
        <f t="shared" si="12"/>
        <v>40</v>
      </c>
      <c r="BP117" s="47">
        <f>IFERROR(VLOOKUP(AN117,'Scoring and Weighting'!$B$63:$C$65,2,FALSE),1)</f>
        <v>1</v>
      </c>
      <c r="BQ117" s="49">
        <f>BK117*'Scoring and Weighting'!$C$55*'Summary Table for Print'!BP117</f>
        <v>17.5</v>
      </c>
      <c r="BR117" s="49">
        <f>BL117*BP117*'Scoring and Weighting'!$C$56</f>
        <v>7.5</v>
      </c>
      <c r="BS117" s="49">
        <f>BP117*BM117*'Scoring and Weighting'!$C$57</f>
        <v>10</v>
      </c>
      <c r="BT117" s="49">
        <f>BP117*BN117*'Scoring and Weighting'!$C$58</f>
        <v>5</v>
      </c>
      <c r="BU117" s="49">
        <f>BP117*BO117*'Scoring and Weighting'!$C$59</f>
        <v>6</v>
      </c>
      <c r="BV117" s="50">
        <f t="shared" si="10"/>
        <v>46</v>
      </c>
    </row>
    <row r="118" spans="1:74" x14ac:dyDescent="0.25">
      <c r="A118" s="41" t="s">
        <v>239</v>
      </c>
      <c r="B118" s="41"/>
      <c r="C118" s="41">
        <v>60</v>
      </c>
      <c r="D118" s="41"/>
      <c r="E118" s="41"/>
      <c r="F118" s="41">
        <v>404</v>
      </c>
      <c r="G118" s="41" t="s">
        <v>95</v>
      </c>
      <c r="H118" s="41">
        <v>1</v>
      </c>
      <c r="I118" s="41">
        <v>0</v>
      </c>
      <c r="J118" s="41" t="str">
        <f>VLOOKUP(A118,'Table with Jurisdictions'!$A$4:$Q$129,17,0)</f>
        <v>Orange County</v>
      </c>
      <c r="K118" s="41" t="s">
        <v>50</v>
      </c>
      <c r="L118" s="41"/>
      <c r="M118" s="41" t="s">
        <v>64</v>
      </c>
      <c r="N118" s="41"/>
      <c r="O118" s="41"/>
      <c r="P118" s="42">
        <v>517.47333168418402</v>
      </c>
      <c r="Q118" s="41">
        <v>65</v>
      </c>
      <c r="R118" s="41">
        <v>59</v>
      </c>
      <c r="S118" s="41">
        <v>0</v>
      </c>
      <c r="T118" s="41">
        <v>0</v>
      </c>
      <c r="U118" s="41">
        <v>0</v>
      </c>
      <c r="V118" s="41">
        <v>0</v>
      </c>
      <c r="W118" s="41">
        <v>0</v>
      </c>
      <c r="X118" s="41">
        <v>0</v>
      </c>
      <c r="Y118" s="41">
        <v>0</v>
      </c>
      <c r="Z118" s="41">
        <v>0</v>
      </c>
      <c r="AA118" s="41">
        <v>100</v>
      </c>
      <c r="AB118" s="41">
        <v>0</v>
      </c>
      <c r="AC118" s="41">
        <v>0</v>
      </c>
      <c r="AD118" s="41">
        <v>0</v>
      </c>
      <c r="AE118" s="41">
        <v>2</v>
      </c>
      <c r="AF118" s="41">
        <v>1.1000000000000001</v>
      </c>
      <c r="AG118" s="41">
        <v>4.4999999999999998E-2</v>
      </c>
      <c r="AH118" s="41">
        <v>1.35</v>
      </c>
      <c r="AI118" s="41">
        <v>3.3660000000000002E-2</v>
      </c>
      <c r="AJ118" s="41">
        <v>8.4150000000000003E-2</v>
      </c>
      <c r="AK118" s="53">
        <f t="shared" si="11"/>
        <v>336.35766559471961</v>
      </c>
      <c r="AL118" s="43">
        <v>5.8904999999999999E-2</v>
      </c>
      <c r="AM118" s="43">
        <f>IF(ISBLANK(AT118),AL118*'ratio of flow'!$D$1,AT118)</f>
        <v>2.9079384794895833E-2</v>
      </c>
      <c r="AN118" s="44"/>
      <c r="AO118" s="44"/>
      <c r="AP118" s="44"/>
      <c r="AQ118" s="44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1"/>
      <c r="BD118" s="41"/>
      <c r="BE118" s="41"/>
      <c r="BF118" s="41"/>
      <c r="BG118" s="41"/>
      <c r="BH118" s="41"/>
      <c r="BI118" s="41"/>
      <c r="BJ118" s="41"/>
      <c r="BK118" s="46">
        <f>IFERROR(VLOOKUP(AQ118,'Scoring and Weighting'!$B$10:$C$12,2,FALSE),'Scoring and Weighting'!$C$13)</f>
        <v>70</v>
      </c>
      <c r="BL118" s="46">
        <f>VLOOKUP(AM118,'Scoring and Weighting'!$C$19:$F$23,4)</f>
        <v>50</v>
      </c>
      <c r="BM118" s="47">
        <f t="shared" si="9"/>
        <v>40</v>
      </c>
      <c r="BN118" s="46">
        <f>IFERROR(VLOOKUP('Summary Table for Print'!AK118,'Scoring and Weighting'!$C$35:$F$39,4,1),30)</f>
        <v>90</v>
      </c>
      <c r="BO118" s="46">
        <f t="shared" si="12"/>
        <v>40</v>
      </c>
      <c r="BP118" s="47">
        <f>IFERROR(VLOOKUP(AN118,'Scoring and Weighting'!$B$63:$C$65,2,FALSE),1)</f>
        <v>1</v>
      </c>
      <c r="BQ118" s="49">
        <f>BK118*'Scoring and Weighting'!$C$55*'Summary Table for Print'!BP118</f>
        <v>17.5</v>
      </c>
      <c r="BR118" s="49">
        <f>BL118*BP118*'Scoring and Weighting'!$C$56</f>
        <v>12.5</v>
      </c>
      <c r="BS118" s="49">
        <f>BP118*BM118*'Scoring and Weighting'!$C$57</f>
        <v>10</v>
      </c>
      <c r="BT118" s="49">
        <f>BP118*BN118*'Scoring and Weighting'!$C$58</f>
        <v>9</v>
      </c>
      <c r="BU118" s="49">
        <f>BP118*BO118*'Scoring and Weighting'!$C$59</f>
        <v>6</v>
      </c>
      <c r="BV118" s="50">
        <f t="shared" si="10"/>
        <v>55</v>
      </c>
    </row>
    <row r="119" spans="1:74" x14ac:dyDescent="0.25">
      <c r="A119" s="41" t="s">
        <v>245</v>
      </c>
      <c r="B119" s="41"/>
      <c r="C119" s="41">
        <v>48</v>
      </c>
      <c r="D119" s="41"/>
      <c r="E119" s="41"/>
      <c r="F119" s="41">
        <v>760</v>
      </c>
      <c r="G119" s="41" t="s">
        <v>95</v>
      </c>
      <c r="H119" s="41">
        <v>1</v>
      </c>
      <c r="I119" s="41">
        <v>0</v>
      </c>
      <c r="J119" s="41" t="str">
        <f>VLOOKUP(A119,'Table with Jurisdictions'!$A$4:$Q$129,17,0)</f>
        <v>Orange County</v>
      </c>
      <c r="K119" s="41" t="s">
        <v>50</v>
      </c>
      <c r="L119" s="41"/>
      <c r="M119" s="41" t="s">
        <v>64</v>
      </c>
      <c r="N119" s="41"/>
      <c r="O119" s="41"/>
      <c r="P119" s="42">
        <v>2068.2372335034102</v>
      </c>
      <c r="Q119" s="41">
        <v>48</v>
      </c>
      <c r="R119" s="41">
        <v>42</v>
      </c>
      <c r="S119" s="41">
        <v>0</v>
      </c>
      <c r="T119" s="41">
        <v>0</v>
      </c>
      <c r="U119" s="41">
        <v>0</v>
      </c>
      <c r="V119" s="41">
        <v>0</v>
      </c>
      <c r="W119" s="41">
        <v>0</v>
      </c>
      <c r="X119" s="41">
        <v>0</v>
      </c>
      <c r="Y119" s="41">
        <v>0</v>
      </c>
      <c r="Z119" s="41">
        <v>0</v>
      </c>
      <c r="AA119" s="41">
        <v>100</v>
      </c>
      <c r="AB119" s="41">
        <v>0</v>
      </c>
      <c r="AC119" s="41">
        <v>0</v>
      </c>
      <c r="AD119" s="41">
        <v>0</v>
      </c>
      <c r="AE119" s="41">
        <v>1</v>
      </c>
      <c r="AF119" s="41">
        <v>1.8</v>
      </c>
      <c r="AG119" s="41">
        <v>0.14000000000000001</v>
      </c>
      <c r="AH119" s="41">
        <v>2</v>
      </c>
      <c r="AI119" s="41">
        <v>0.4284</v>
      </c>
      <c r="AJ119" s="41">
        <v>0.4284</v>
      </c>
      <c r="AK119" s="53">
        <f t="shared" si="11"/>
        <v>992.75387208163681</v>
      </c>
      <c r="AL119" s="43">
        <v>0.4284</v>
      </c>
      <c r="AM119" s="43">
        <f>IF(ISBLANK(AT119),AL119*'ratio of flow'!$D$1,AT119)</f>
        <v>0.21148643487196969</v>
      </c>
      <c r="AN119" s="44"/>
      <c r="AO119" s="44"/>
      <c r="AP119" s="44"/>
      <c r="AQ119" s="44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1"/>
      <c r="BD119" s="41"/>
      <c r="BE119" s="41"/>
      <c r="BF119" s="41"/>
      <c r="BG119" s="41"/>
      <c r="BH119" s="41"/>
      <c r="BI119" s="41"/>
      <c r="BJ119" s="41"/>
      <c r="BK119" s="46">
        <f>IFERROR(VLOOKUP(AQ119,'Scoring and Weighting'!$B$10:$C$12,2,FALSE),'Scoring and Weighting'!$C$13)</f>
        <v>70</v>
      </c>
      <c r="BL119" s="46">
        <f>VLOOKUP(AM119,'Scoring and Weighting'!$C$19:$F$23,4)</f>
        <v>100</v>
      </c>
      <c r="BM119" s="47">
        <f t="shared" si="9"/>
        <v>40</v>
      </c>
      <c r="BN119" s="46">
        <f>IFERROR(VLOOKUP('Summary Table for Print'!AK119,'Scoring and Weighting'!$C$35:$F$39,4,1),30)</f>
        <v>100</v>
      </c>
      <c r="BO119" s="46">
        <f t="shared" si="12"/>
        <v>20</v>
      </c>
      <c r="BP119" s="47">
        <f>IFERROR(VLOOKUP(AN119,'Scoring and Weighting'!$B$63:$C$65,2,FALSE),1)</f>
        <v>1</v>
      </c>
      <c r="BQ119" s="49">
        <f>BK119*'Scoring and Weighting'!$C$55*'Summary Table for Print'!BP119</f>
        <v>17.5</v>
      </c>
      <c r="BR119" s="49">
        <f>BL119*BP119*'Scoring and Weighting'!$C$56</f>
        <v>25</v>
      </c>
      <c r="BS119" s="49">
        <f>BP119*BM119*'Scoring and Weighting'!$C$57</f>
        <v>10</v>
      </c>
      <c r="BT119" s="49">
        <f>BP119*BN119*'Scoring and Weighting'!$C$58</f>
        <v>10</v>
      </c>
      <c r="BU119" s="49">
        <f>BP119*BO119*'Scoring and Weighting'!$C$59</f>
        <v>3</v>
      </c>
      <c r="BV119" s="50">
        <f t="shared" si="10"/>
        <v>65.5</v>
      </c>
    </row>
    <row r="120" spans="1:74" x14ac:dyDescent="0.25">
      <c r="A120" s="41" t="s">
        <v>246</v>
      </c>
      <c r="B120" s="41"/>
      <c r="C120" s="41">
        <v>66</v>
      </c>
      <c r="D120" s="41"/>
      <c r="E120" s="41"/>
      <c r="F120" s="41">
        <v>760</v>
      </c>
      <c r="G120" s="41" t="s">
        <v>95</v>
      </c>
      <c r="H120" s="41">
        <v>1</v>
      </c>
      <c r="I120" s="41">
        <v>0</v>
      </c>
      <c r="J120" s="41" t="str">
        <f>VLOOKUP(A120,'Table with Jurisdictions'!$A$4:$Q$129,17,0)</f>
        <v>NA</v>
      </c>
      <c r="K120" s="41" t="s">
        <v>50</v>
      </c>
      <c r="L120" s="41"/>
      <c r="M120" s="41" t="s">
        <v>64</v>
      </c>
      <c r="N120" s="41"/>
      <c r="O120" s="41"/>
      <c r="P120" s="42">
        <v>128.25278759065401</v>
      </c>
      <c r="Q120" s="41">
        <v>13</v>
      </c>
      <c r="R120" s="41">
        <v>0</v>
      </c>
      <c r="S120" s="41">
        <v>0</v>
      </c>
      <c r="T120" s="41">
        <v>0</v>
      </c>
      <c r="U120" s="41">
        <v>0</v>
      </c>
      <c r="V120" s="41">
        <v>0</v>
      </c>
      <c r="W120" s="41">
        <v>0</v>
      </c>
      <c r="X120" s="41">
        <v>0</v>
      </c>
      <c r="Y120" s="41">
        <v>0</v>
      </c>
      <c r="Z120" s="41">
        <v>0</v>
      </c>
      <c r="AA120" s="41">
        <v>100</v>
      </c>
      <c r="AB120" s="41">
        <v>0</v>
      </c>
      <c r="AC120" s="41">
        <v>0</v>
      </c>
      <c r="AD120" s="41">
        <v>0</v>
      </c>
      <c r="AE120" s="41">
        <v>2</v>
      </c>
      <c r="AF120" s="41">
        <v>1.01</v>
      </c>
      <c r="AG120" s="41">
        <v>0.19500000000000001</v>
      </c>
      <c r="AH120" s="41">
        <v>0.94103773584905703</v>
      </c>
      <c r="AI120" s="41">
        <v>6.9997500000000004E-2</v>
      </c>
      <c r="AJ120" s="41">
        <v>0.23094339622641499</v>
      </c>
      <c r="AK120" s="53">
        <f t="shared" si="11"/>
        <v>16.67286238678502</v>
      </c>
      <c r="AL120" s="43">
        <v>0.15047044811320801</v>
      </c>
      <c r="AM120" s="43">
        <f>IF(ISBLANK(AT120),AL120*'ratio of flow'!$D$1,AT120)</f>
        <v>7.4282116304972126E-2</v>
      </c>
      <c r="AN120" s="44"/>
      <c r="AO120" s="44"/>
      <c r="AP120" s="44"/>
      <c r="AQ120" s="44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1"/>
      <c r="BD120" s="41"/>
      <c r="BE120" s="41"/>
      <c r="BF120" s="41"/>
      <c r="BG120" s="41"/>
      <c r="BH120" s="41"/>
      <c r="BI120" s="41"/>
      <c r="BJ120" s="41"/>
      <c r="BK120" s="46">
        <f>IFERROR(VLOOKUP(AQ120,'Scoring and Weighting'!$B$10:$C$12,2,FALSE),'Scoring and Weighting'!$C$13)</f>
        <v>70</v>
      </c>
      <c r="BL120" s="46">
        <f>VLOOKUP(AM120,'Scoring and Weighting'!$C$19:$F$23,4)</f>
        <v>70</v>
      </c>
      <c r="BM120" s="47">
        <f t="shared" si="9"/>
        <v>40</v>
      </c>
      <c r="BN120" s="46">
        <f>VLOOKUP('Summary Table for Print'!AK120,'Scoring and Weighting'!$C$35:$F$39,4,1)</f>
        <v>30</v>
      </c>
      <c r="BO120" s="46">
        <f t="shared" si="12"/>
        <v>40</v>
      </c>
      <c r="BP120" s="47">
        <f>IFERROR(VLOOKUP(AN120,'Scoring and Weighting'!$B$63:$C$65,2,FALSE),1)</f>
        <v>1</v>
      </c>
      <c r="BQ120" s="49">
        <f>BK120*'Scoring and Weighting'!$C$55*'Summary Table for Print'!BP120</f>
        <v>17.5</v>
      </c>
      <c r="BR120" s="49">
        <f>BL120*BP120*'Scoring and Weighting'!$C$56</f>
        <v>17.5</v>
      </c>
      <c r="BS120" s="49">
        <f>BP120*BM120*'Scoring and Weighting'!$C$57</f>
        <v>10</v>
      </c>
      <c r="BT120" s="49">
        <f>BP120*BN120*'Scoring and Weighting'!$C$58</f>
        <v>3</v>
      </c>
      <c r="BU120" s="49">
        <f>BP120*BO120*'Scoring and Weighting'!$C$59</f>
        <v>6</v>
      </c>
      <c r="BV120" s="50">
        <f t="shared" si="10"/>
        <v>54</v>
      </c>
    </row>
    <row r="121" spans="1:74" x14ac:dyDescent="0.25">
      <c r="A121" s="41" t="s">
        <v>258</v>
      </c>
      <c r="B121" s="41" t="s">
        <v>271</v>
      </c>
      <c r="C121" s="41">
        <v>60</v>
      </c>
      <c r="D121" s="41"/>
      <c r="E121" s="41"/>
      <c r="F121" s="41">
        <v>12106</v>
      </c>
      <c r="G121" s="41" t="s">
        <v>272</v>
      </c>
      <c r="H121" s="41">
        <v>1</v>
      </c>
      <c r="I121" s="41">
        <v>0</v>
      </c>
      <c r="J121" s="41" t="str">
        <f>VLOOKUP(A121,'Table with Jurisdictions'!$A$4:$Q$129,17,0)</f>
        <v>San Clemente</v>
      </c>
      <c r="K121" s="41" t="s">
        <v>50</v>
      </c>
      <c r="L121" s="41"/>
      <c r="M121" s="41" t="s">
        <v>180</v>
      </c>
      <c r="N121" s="41"/>
      <c r="O121" s="41"/>
      <c r="P121" s="42">
        <v>131.10364704384099</v>
      </c>
      <c r="Q121" s="41">
        <v>10</v>
      </c>
      <c r="R121" s="41">
        <v>0</v>
      </c>
      <c r="S121" s="41">
        <v>0</v>
      </c>
      <c r="T121" s="41">
        <v>0</v>
      </c>
      <c r="U121" s="41">
        <v>0</v>
      </c>
      <c r="V121" s="41">
        <v>0</v>
      </c>
      <c r="W121" s="41">
        <v>0</v>
      </c>
      <c r="X121" s="41">
        <v>0</v>
      </c>
      <c r="Y121" s="41">
        <v>0</v>
      </c>
      <c r="Z121" s="41">
        <v>0</v>
      </c>
      <c r="AA121" s="41">
        <v>0</v>
      </c>
      <c r="AB121" s="41">
        <v>0</v>
      </c>
      <c r="AC121" s="41">
        <v>100</v>
      </c>
      <c r="AD121" s="41">
        <v>0</v>
      </c>
      <c r="AE121" s="41">
        <v>2</v>
      </c>
      <c r="AF121" s="41">
        <v>1.4</v>
      </c>
      <c r="AG121" s="41">
        <v>0.48</v>
      </c>
      <c r="AH121" s="41">
        <v>1.69767441860465</v>
      </c>
      <c r="AI121" s="41">
        <v>9.2511627906977006E-2</v>
      </c>
      <c r="AJ121" s="41">
        <v>2.2949999999999999</v>
      </c>
      <c r="AK121" s="53">
        <f t="shared" si="11"/>
        <v>13.110364704384098</v>
      </c>
      <c r="AL121" s="43">
        <v>1.1937558139534801</v>
      </c>
      <c r="AM121" s="43">
        <f>IF(ISBLANK(AT121),AL121*'ratio of flow'!$D$1,AT121)</f>
        <v>0.58931643604273531</v>
      </c>
      <c r="AN121" s="44" t="s">
        <v>52</v>
      </c>
      <c r="AO121" s="44" t="s">
        <v>131</v>
      </c>
      <c r="AP121" s="44" t="s">
        <v>53</v>
      </c>
      <c r="AQ121" s="44" t="s">
        <v>54</v>
      </c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1"/>
      <c r="BD121" s="41"/>
      <c r="BE121" s="41"/>
      <c r="BF121" s="41"/>
      <c r="BG121" s="41"/>
      <c r="BH121" s="41"/>
      <c r="BI121" s="41"/>
      <c r="BJ121" s="41"/>
      <c r="BK121" s="46">
        <f>IFERROR(VLOOKUP(AQ121,'Scoring and Weighting'!$B$10:$C$12,2,FALSE),'Scoring and Weighting'!$C$13)</f>
        <v>100</v>
      </c>
      <c r="BL121" s="46">
        <f>VLOOKUP(AM121,'Scoring and Weighting'!$C$19:$F$23,4)</f>
        <v>100</v>
      </c>
      <c r="BM121" s="47">
        <f t="shared" si="9"/>
        <v>40</v>
      </c>
      <c r="BN121" s="46">
        <f>VLOOKUP('Summary Table for Print'!AK121,'Scoring and Weighting'!$C$35:$F$39,4,1)</f>
        <v>30</v>
      </c>
      <c r="BO121" s="46">
        <f t="shared" si="12"/>
        <v>60</v>
      </c>
      <c r="BP121" s="47">
        <f>IFERROR(VLOOKUP(AN121,'Scoring and Weighting'!$B$63:$C$65,2,FALSE),1)</f>
        <v>1</v>
      </c>
      <c r="BQ121" s="49">
        <f>BK121*'Scoring and Weighting'!$C$55*'Summary Table for Print'!BP121</f>
        <v>25</v>
      </c>
      <c r="BR121" s="49">
        <f>BL121*BP121*'Scoring and Weighting'!$C$56</f>
        <v>25</v>
      </c>
      <c r="BS121" s="49">
        <f>BP121*BM121*'Scoring and Weighting'!$C$57</f>
        <v>10</v>
      </c>
      <c r="BT121" s="49">
        <f>BP121*BN121*'Scoring and Weighting'!$C$58</f>
        <v>3</v>
      </c>
      <c r="BU121" s="49">
        <f>BP121*BO121*'Scoring and Weighting'!$C$59</f>
        <v>9</v>
      </c>
      <c r="BV121" s="50">
        <f t="shared" si="10"/>
        <v>72</v>
      </c>
    </row>
  </sheetData>
  <mergeCells count="6">
    <mergeCell ref="AR1:BB1"/>
    <mergeCell ref="BK1:BP1"/>
    <mergeCell ref="BQ1:BV1"/>
    <mergeCell ref="AL1:AQ1"/>
    <mergeCell ref="A1:M1"/>
    <mergeCell ref="P1:Q1"/>
  </mergeCells>
  <pageMargins left="0.7" right="0.7" top="0.75" bottom="0.75" header="0.3" footer="0.3"/>
  <pageSetup paperSize="3" scale="65" orientation="landscape" horizontalDpi="1200" verticalDpi="1200" r:id="rId1"/>
  <headerFooter>
    <oddFooter>&amp;CDRAFT FOR CONSULTATION PANEL REVIEW - 8-25-2016</oddFooter>
  </headerFooter>
  <colBreaks count="1" manualBreakCount="1">
    <brk id="6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zoomScale="85" zoomScaleNormal="85" workbookViewId="0">
      <selection activeCell="A3" sqref="A3"/>
    </sheetView>
  </sheetViews>
  <sheetFormatPr defaultRowHeight="15" x14ac:dyDescent="0.25"/>
  <cols>
    <col min="1" max="1" width="23.42578125" customWidth="1"/>
    <col min="2" max="2" width="25.7109375" customWidth="1"/>
    <col min="3" max="3" width="28.42578125" customWidth="1"/>
    <col min="9" max="9" width="20.28515625" customWidth="1"/>
    <col min="10" max="10" width="26" customWidth="1"/>
    <col min="11" max="11" width="65.140625" bestFit="1" customWidth="1"/>
    <col min="12" max="12" width="12" customWidth="1"/>
  </cols>
  <sheetData>
    <row r="1" spans="1:13" x14ac:dyDescent="0.25">
      <c r="A1" s="1" t="s">
        <v>319</v>
      </c>
      <c r="B1" t="s">
        <v>376</v>
      </c>
    </row>
    <row r="3" spans="1:13" x14ac:dyDescent="0.25">
      <c r="A3" s="1" t="s">
        <v>288</v>
      </c>
      <c r="B3" t="s">
        <v>375</v>
      </c>
      <c r="C3" t="s">
        <v>544</v>
      </c>
      <c r="J3" t="s">
        <v>377</v>
      </c>
      <c r="K3" t="s">
        <v>378</v>
      </c>
      <c r="L3" t="s">
        <v>379</v>
      </c>
    </row>
    <row r="4" spans="1:13" x14ac:dyDescent="0.25">
      <c r="A4" s="2" t="s">
        <v>51</v>
      </c>
      <c r="B4" s="5">
        <v>1.3809466003112312</v>
      </c>
      <c r="C4" s="5">
        <v>20</v>
      </c>
      <c r="I4" s="2" t="s">
        <v>51</v>
      </c>
      <c r="J4" s="5">
        <v>1.3809466003112312</v>
      </c>
      <c r="K4" s="5">
        <v>1.2261628667465951</v>
      </c>
      <c r="L4">
        <f>J4*(SUM($K$4:$K$8)/SUM($J$4:$J$8))</f>
        <v>1.18562721260009</v>
      </c>
    </row>
    <row r="5" spans="1:13" x14ac:dyDescent="0.25">
      <c r="A5" s="2" t="s">
        <v>84</v>
      </c>
      <c r="B5" s="5">
        <v>0.52380033451418384</v>
      </c>
      <c r="C5" s="5">
        <v>6</v>
      </c>
      <c r="I5" s="2" t="s">
        <v>84</v>
      </c>
      <c r="J5" s="5">
        <v>0.52380033451418384</v>
      </c>
      <c r="K5" s="5">
        <v>0.47721774923767357</v>
      </c>
      <c r="L5">
        <f t="shared" ref="L5:L7" si="0">J5*(SUM($K$4:$K$8)/SUM($J$4:$J$8))</f>
        <v>0.4497146598058761</v>
      </c>
    </row>
    <row r="6" spans="1:13" x14ac:dyDescent="0.25">
      <c r="A6" s="2" t="s">
        <v>149</v>
      </c>
      <c r="B6" s="5">
        <v>0.15036237929058674</v>
      </c>
      <c r="C6" s="5">
        <v>2</v>
      </c>
      <c r="I6" s="2" t="s">
        <v>149</v>
      </c>
      <c r="J6" s="5">
        <v>0.15036237929058674</v>
      </c>
      <c r="K6" s="5">
        <v>2.447759662870003E-2</v>
      </c>
      <c r="L6">
        <f>J6*(SUM($K$4:$K$8)/SUM($J$4:$J$8))</f>
        <v>0.12909530940446021</v>
      </c>
    </row>
    <row r="7" spans="1:13" x14ac:dyDescent="0.25">
      <c r="A7" s="2" t="s">
        <v>180</v>
      </c>
      <c r="B7" s="5">
        <v>1.4693164360427353</v>
      </c>
      <c r="C7" s="5">
        <v>7</v>
      </c>
      <c r="I7" s="2" t="s">
        <v>180</v>
      </c>
      <c r="J7" s="5">
        <v>1.4693164360427353</v>
      </c>
      <c r="K7" s="5">
        <v>1.2693164360427354</v>
      </c>
      <c r="L7">
        <f t="shared" si="0"/>
        <v>1.2614981275164652</v>
      </c>
    </row>
    <row r="8" spans="1:13" x14ac:dyDescent="0.25">
      <c r="A8" s="2" t="s">
        <v>64</v>
      </c>
      <c r="B8" s="5">
        <v>2.9326041421911433</v>
      </c>
      <c r="C8" s="5">
        <v>35</v>
      </c>
      <c r="I8" s="2" t="s">
        <v>64</v>
      </c>
      <c r="J8" s="5">
        <v>2.9326041421911433</v>
      </c>
      <c r="K8" s="5">
        <v>2.5465808819468965</v>
      </c>
      <c r="L8">
        <f>J8*(SUM($K$4:$K$8)/SUM($J$4:$J$8))</f>
        <v>2.5178202212757097</v>
      </c>
    </row>
    <row r="9" spans="1:13" x14ac:dyDescent="0.25">
      <c r="A9" s="2" t="s">
        <v>290</v>
      </c>
      <c r="B9" s="5">
        <v>6.4570298923498823</v>
      </c>
      <c r="C9" s="5">
        <v>70</v>
      </c>
      <c r="J9">
        <f>+SUM(J4:J8)</f>
        <v>6.4570298923498806</v>
      </c>
      <c r="K9">
        <f>+SUM(K4:K8)</f>
        <v>5.543755530602601</v>
      </c>
      <c r="L9">
        <f>SUM(L4:L8)</f>
        <v>5.543755530602601</v>
      </c>
    </row>
    <row r="15" spans="1:13" ht="90" x14ac:dyDescent="0.25">
      <c r="A15" s="1" t="s">
        <v>319</v>
      </c>
      <c r="B15" t="s">
        <v>376</v>
      </c>
      <c r="I15" s="29" t="s">
        <v>11</v>
      </c>
      <c r="J15" s="73" t="s">
        <v>383</v>
      </c>
      <c r="K15" s="35" t="s">
        <v>381</v>
      </c>
      <c r="L15" s="6"/>
      <c r="M15" s="6"/>
    </row>
    <row r="16" spans="1:13" x14ac:dyDescent="0.25">
      <c r="I16" s="29" t="str">
        <f>I4</f>
        <v>Aliso</v>
      </c>
      <c r="J16" s="61">
        <f>L4</f>
        <v>1.18562721260009</v>
      </c>
      <c r="K16" s="29" t="s">
        <v>382</v>
      </c>
    </row>
    <row r="17" spans="1:11" x14ac:dyDescent="0.25">
      <c r="A17" s="1" t="s">
        <v>288</v>
      </c>
      <c r="B17" t="s">
        <v>375</v>
      </c>
      <c r="C17" t="s">
        <v>544</v>
      </c>
      <c r="I17" s="29" t="str">
        <f>I5</f>
        <v>Dana Point</v>
      </c>
      <c r="J17" s="61">
        <f t="shared" ref="J17:J21" si="1">L5</f>
        <v>0.4497146598058761</v>
      </c>
      <c r="K17" s="29" t="s">
        <v>382</v>
      </c>
    </row>
    <row r="18" spans="1:11" x14ac:dyDescent="0.25">
      <c r="A18" s="2" t="s">
        <v>51</v>
      </c>
      <c r="B18" s="5">
        <v>1.2261628667465951</v>
      </c>
      <c r="C18" s="5">
        <v>13</v>
      </c>
      <c r="I18" s="29" t="str">
        <f>I6</f>
        <v>Laguna Coast</v>
      </c>
      <c r="J18" s="61">
        <f t="shared" si="1"/>
        <v>0.12909530940446021</v>
      </c>
      <c r="K18" s="29" t="s">
        <v>382</v>
      </c>
    </row>
    <row r="19" spans="1:11" x14ac:dyDescent="0.25">
      <c r="A19" s="2" t="s">
        <v>84</v>
      </c>
      <c r="B19" s="5">
        <v>0.47721774923767357</v>
      </c>
      <c r="C19" s="5">
        <v>3</v>
      </c>
      <c r="G19" s="81">
        <v>1.0750639164258267</v>
      </c>
      <c r="I19" s="29" t="str">
        <f>I7</f>
        <v>San Clemente</v>
      </c>
      <c r="J19" s="61">
        <f t="shared" si="1"/>
        <v>1.2614981275164652</v>
      </c>
      <c r="K19" s="29" t="s">
        <v>382</v>
      </c>
    </row>
    <row r="20" spans="1:11" x14ac:dyDescent="0.25">
      <c r="A20" s="2" t="s">
        <v>149</v>
      </c>
      <c r="B20" s="5">
        <v>2.447759662870003E-2</v>
      </c>
      <c r="C20" s="5">
        <v>1</v>
      </c>
      <c r="G20" s="81">
        <v>0.55192256408324369</v>
      </c>
      <c r="I20" s="29" t="str">
        <f>I8</f>
        <v>San Juan Creek</v>
      </c>
      <c r="J20" s="61">
        <f t="shared" si="1"/>
        <v>2.5178202212757097</v>
      </c>
      <c r="K20" s="29" t="s">
        <v>382</v>
      </c>
    </row>
    <row r="21" spans="1:11" x14ac:dyDescent="0.25">
      <c r="A21" s="2" t="s">
        <v>180</v>
      </c>
      <c r="B21" s="5">
        <v>1.2693164360427354</v>
      </c>
      <c r="C21" s="5">
        <v>5</v>
      </c>
      <c r="G21" s="81">
        <v>4.3350789258382351E-2</v>
      </c>
      <c r="I21" s="29" t="s">
        <v>380</v>
      </c>
      <c r="J21" s="61">
        <f t="shared" si="1"/>
        <v>5.543755530602601</v>
      </c>
      <c r="K21" s="29" t="s">
        <v>382</v>
      </c>
    </row>
    <row r="22" spans="1:11" x14ac:dyDescent="0.25">
      <c r="A22" s="2" t="s">
        <v>64</v>
      </c>
      <c r="B22" s="5">
        <v>2.5465808819468965</v>
      </c>
      <c r="C22" s="5">
        <v>16</v>
      </c>
      <c r="G22" s="81">
        <v>2.7912101106889886</v>
      </c>
      <c r="K22" s="125"/>
    </row>
    <row r="23" spans="1:11" x14ac:dyDescent="0.25">
      <c r="A23" s="2" t="s">
        <v>290</v>
      </c>
      <c r="B23" s="5">
        <v>5.5437555306026045</v>
      </c>
      <c r="C23" s="5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9"/>
  <sheetViews>
    <sheetView workbookViewId="0">
      <selection activeCell="A14" sqref="A14"/>
    </sheetView>
  </sheetViews>
  <sheetFormatPr defaultRowHeight="15" x14ac:dyDescent="0.25"/>
  <cols>
    <col min="1" max="1" width="23.42578125" customWidth="1"/>
    <col min="2" max="2" width="25.28515625" customWidth="1"/>
    <col min="3" max="3" width="27.7109375" customWidth="1"/>
  </cols>
  <sheetData>
    <row r="1" spans="1:3" x14ac:dyDescent="0.25">
      <c r="A1" s="1" t="s">
        <v>319</v>
      </c>
      <c r="B1" t="s">
        <v>376</v>
      </c>
    </row>
    <row r="3" spans="1:3" x14ac:dyDescent="0.25">
      <c r="A3" s="1" t="s">
        <v>288</v>
      </c>
      <c r="B3" t="s">
        <v>375</v>
      </c>
      <c r="C3" t="s">
        <v>544</v>
      </c>
    </row>
    <row r="4" spans="1:3" x14ac:dyDescent="0.25">
      <c r="A4" s="2" t="s">
        <v>54</v>
      </c>
      <c r="B4" s="5">
        <v>2.2453164360427356</v>
      </c>
      <c r="C4" s="5">
        <v>11</v>
      </c>
    </row>
    <row r="5" spans="1:3" x14ac:dyDescent="0.25">
      <c r="A5" s="2" t="s">
        <v>69</v>
      </c>
      <c r="B5" s="5">
        <v>0.42300000000000004</v>
      </c>
      <c r="C5" s="5">
        <v>7</v>
      </c>
    </row>
    <row r="6" spans="1:3" x14ac:dyDescent="0.25">
      <c r="A6" s="2" t="s">
        <v>114</v>
      </c>
      <c r="B6" s="5">
        <v>0.28500000000000003</v>
      </c>
      <c r="C6" s="5">
        <v>4</v>
      </c>
    </row>
    <row r="7" spans="1:3" x14ac:dyDescent="0.25">
      <c r="A7" s="2" t="s">
        <v>289</v>
      </c>
      <c r="B7" s="5">
        <v>2.46344932325017</v>
      </c>
      <c r="C7" s="5">
        <v>13</v>
      </c>
    </row>
    <row r="8" spans="1:3" x14ac:dyDescent="0.25">
      <c r="A8" s="2" t="s">
        <v>290</v>
      </c>
      <c r="B8" s="5">
        <v>5.4167657592929039</v>
      </c>
      <c r="C8" s="5">
        <v>35</v>
      </c>
    </row>
    <row r="12" spans="1:3" x14ac:dyDescent="0.25">
      <c r="A12" s="1" t="s">
        <v>319</v>
      </c>
      <c r="B12" t="s">
        <v>546</v>
      </c>
    </row>
    <row r="14" spans="1:3" x14ac:dyDescent="0.25">
      <c r="A14" s="1" t="s">
        <v>288</v>
      </c>
      <c r="B14" t="s">
        <v>375</v>
      </c>
      <c r="C14" t="s">
        <v>544</v>
      </c>
    </row>
    <row r="15" spans="1:3" x14ac:dyDescent="0.25">
      <c r="A15" s="2" t="s">
        <v>54</v>
      </c>
      <c r="B15" s="5">
        <v>2.2735264538769391</v>
      </c>
      <c r="C15" s="5">
        <v>15</v>
      </c>
    </row>
    <row r="16" spans="1:3" x14ac:dyDescent="0.25">
      <c r="A16" s="2" t="s">
        <v>69</v>
      </c>
      <c r="B16" s="5">
        <v>0.70240935388349879</v>
      </c>
      <c r="C16" s="5">
        <v>13</v>
      </c>
    </row>
    <row r="17" spans="1:3" x14ac:dyDescent="0.25">
      <c r="A17" s="2" t="s">
        <v>114</v>
      </c>
      <c r="B17" s="5">
        <v>0.70201514927890751</v>
      </c>
      <c r="C17" s="5">
        <v>28</v>
      </c>
    </row>
    <row r="18" spans="1:3" x14ac:dyDescent="0.25">
      <c r="A18" s="2" t="s">
        <v>289</v>
      </c>
      <c r="B18" s="5">
        <v>3.5258432232907109</v>
      </c>
      <c r="C18" s="5">
        <v>63</v>
      </c>
    </row>
    <row r="19" spans="1:3" x14ac:dyDescent="0.25">
      <c r="A19" s="2" t="s">
        <v>290</v>
      </c>
      <c r="B19" s="5">
        <v>7.2037941803300578</v>
      </c>
      <c r="C19" s="5">
        <v>119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D48"/>
  <sheetViews>
    <sheetView zoomScale="70" zoomScaleNormal="70" workbookViewId="0">
      <selection activeCell="B7" sqref="B7:D7"/>
    </sheetView>
  </sheetViews>
  <sheetFormatPr defaultRowHeight="15" x14ac:dyDescent="0.25"/>
  <cols>
    <col min="2" max="2" width="21.85546875" customWidth="1"/>
    <col min="3" max="3" width="43" customWidth="1"/>
    <col min="4" max="4" width="52.7109375" customWidth="1"/>
  </cols>
  <sheetData>
    <row r="1" spans="2:4" ht="45" x14ac:dyDescent="0.25">
      <c r="C1" s="120" t="s">
        <v>541</v>
      </c>
      <c r="D1" s="121">
        <f>SUM(D5:D48)/SUM(C5:C48)</f>
        <v>0.49366581436034007</v>
      </c>
    </row>
    <row r="2" spans="2:4" x14ac:dyDescent="0.25">
      <c r="B2" t="s">
        <v>542</v>
      </c>
    </row>
    <row r="3" spans="2:4" x14ac:dyDescent="0.25">
      <c r="B3" t="s">
        <v>543</v>
      </c>
    </row>
    <row r="4" spans="2:4" ht="30" x14ac:dyDescent="0.25">
      <c r="B4" s="52" t="s">
        <v>341</v>
      </c>
      <c r="C4" s="37" t="s">
        <v>342</v>
      </c>
      <c r="D4" s="55" t="s">
        <v>347</v>
      </c>
    </row>
    <row r="5" spans="2:4" x14ac:dyDescent="0.25">
      <c r="B5" s="41" t="s">
        <v>195</v>
      </c>
      <c r="C5" s="43">
        <v>5.6666666666699999E-4</v>
      </c>
      <c r="D5" s="45">
        <v>0</v>
      </c>
    </row>
    <row r="6" spans="2:4" x14ac:dyDescent="0.25">
      <c r="B6" s="41" t="s">
        <v>264</v>
      </c>
      <c r="C6" s="43">
        <v>4.5900000000000003E-3</v>
      </c>
      <c r="D6" s="45">
        <v>0</v>
      </c>
    </row>
    <row r="7" spans="2:4" x14ac:dyDescent="0.25">
      <c r="B7" s="41" t="s">
        <v>249</v>
      </c>
      <c r="C7" s="43">
        <v>4.1437500000000002E-2</v>
      </c>
      <c r="D7" s="45">
        <v>4.0000000000000001E-3</v>
      </c>
    </row>
    <row r="8" spans="2:4" x14ac:dyDescent="0.25">
      <c r="B8" s="41" t="s">
        <v>133</v>
      </c>
      <c r="C8" s="43">
        <v>9.3924999999999995E-2</v>
      </c>
      <c r="D8" s="45">
        <v>4.0000000000000001E-3</v>
      </c>
    </row>
    <row r="9" spans="2:4" x14ac:dyDescent="0.25">
      <c r="B9" s="41" t="s">
        <v>531</v>
      </c>
      <c r="C9" s="43">
        <v>4.4347826086956997E-2</v>
      </c>
      <c r="D9" s="45">
        <v>5.0000000000000001E-3</v>
      </c>
    </row>
    <row r="10" spans="2:4" x14ac:dyDescent="0.25">
      <c r="B10" s="41" t="s">
        <v>125</v>
      </c>
      <c r="C10" s="43">
        <v>3.5700000000000003E-2</v>
      </c>
      <c r="D10" s="45">
        <v>7.0000000000000001E-3</v>
      </c>
    </row>
    <row r="11" spans="2:4" x14ac:dyDescent="0.25">
      <c r="B11" s="41" t="s">
        <v>159</v>
      </c>
      <c r="C11" s="43">
        <v>2.1462499999999999E-2</v>
      </c>
      <c r="D11" s="45">
        <v>7.0000000000000001E-3</v>
      </c>
    </row>
    <row r="12" spans="2:4" x14ac:dyDescent="0.25">
      <c r="B12" s="41" t="s">
        <v>88</v>
      </c>
      <c r="C12" s="43">
        <v>8.5866666666666994E-2</v>
      </c>
      <c r="D12" s="45">
        <v>8.0000000000000002E-3</v>
      </c>
    </row>
    <row r="13" spans="2:4" x14ac:dyDescent="0.25">
      <c r="B13" s="41" t="s">
        <v>170</v>
      </c>
      <c r="C13" s="43">
        <v>2.7171666666667E-2</v>
      </c>
      <c r="D13" s="45">
        <v>0.01</v>
      </c>
    </row>
    <row r="14" spans="2:4" x14ac:dyDescent="0.25">
      <c r="B14" s="41" t="s">
        <v>253</v>
      </c>
      <c r="C14" s="43">
        <v>7.8093750000000003E-2</v>
      </c>
      <c r="D14" s="45">
        <v>1.0999999999999999E-2</v>
      </c>
    </row>
    <row r="15" spans="2:4" x14ac:dyDescent="0.25">
      <c r="B15" s="41" t="s">
        <v>91</v>
      </c>
      <c r="C15" s="43">
        <v>3.2937500000000001E-2</v>
      </c>
      <c r="D15" s="45">
        <v>1.2999999999999999E-2</v>
      </c>
    </row>
    <row r="16" spans="2:4" x14ac:dyDescent="0.25">
      <c r="B16" s="41" t="s">
        <v>128</v>
      </c>
      <c r="C16" s="43">
        <v>1.3060472280334701</v>
      </c>
      <c r="D16" s="45">
        <v>1.4E-2</v>
      </c>
    </row>
    <row r="17" spans="2:4" x14ac:dyDescent="0.25">
      <c r="B17" s="41" t="s">
        <v>74</v>
      </c>
      <c r="C17" s="43">
        <v>3.4672916666666997E-2</v>
      </c>
      <c r="D17" s="45">
        <v>1.6E-2</v>
      </c>
    </row>
    <row r="18" spans="2:4" x14ac:dyDescent="0.25">
      <c r="B18" s="41" t="s">
        <v>93</v>
      </c>
      <c r="C18" s="43">
        <v>4.7047499999999999E-2</v>
      </c>
      <c r="D18" s="45">
        <v>1.6E-2</v>
      </c>
    </row>
    <row r="19" spans="2:4" x14ac:dyDescent="0.25">
      <c r="B19" s="41" t="s">
        <v>123</v>
      </c>
      <c r="C19" s="43">
        <v>6.3362462006080001E-3</v>
      </c>
      <c r="D19" s="45">
        <v>1.6E-2</v>
      </c>
    </row>
    <row r="20" spans="2:4" x14ac:dyDescent="0.25">
      <c r="B20" s="41" t="s">
        <v>157</v>
      </c>
      <c r="C20" s="43">
        <v>7.3440000000000005E-2</v>
      </c>
      <c r="D20" s="45">
        <v>2.1000000000000001E-2</v>
      </c>
    </row>
    <row r="21" spans="2:4" x14ac:dyDescent="0.25">
      <c r="B21" s="41" t="s">
        <v>71</v>
      </c>
      <c r="C21" s="43">
        <v>5.1796874999999999E-2</v>
      </c>
      <c r="D21" s="45">
        <v>2.7E-2</v>
      </c>
    </row>
    <row r="22" spans="2:4" x14ac:dyDescent="0.25">
      <c r="B22" s="41" t="s">
        <v>530</v>
      </c>
      <c r="C22" s="43">
        <v>2.3561999999999999</v>
      </c>
      <c r="D22" s="45">
        <v>3.5999999999999997E-2</v>
      </c>
    </row>
    <row r="23" spans="2:4" x14ac:dyDescent="0.25">
      <c r="B23" s="41" t="s">
        <v>117</v>
      </c>
      <c r="C23" s="43">
        <v>6.6937499999999997E-2</v>
      </c>
      <c r="D23" s="45">
        <v>3.6999999999999998E-2</v>
      </c>
    </row>
    <row r="24" spans="2:4" x14ac:dyDescent="0.25">
      <c r="B24" s="41" t="s">
        <v>127</v>
      </c>
      <c r="C24" s="43">
        <v>6.1242499999999998E-2</v>
      </c>
      <c r="D24" s="45">
        <v>3.7999999999999999E-2</v>
      </c>
    </row>
    <row r="25" spans="2:4" x14ac:dyDescent="0.25">
      <c r="B25" s="41" t="s">
        <v>242</v>
      </c>
      <c r="C25" s="43">
        <v>2.8528125000000001E-2</v>
      </c>
      <c r="D25" s="45">
        <v>4.2999999999999997E-2</v>
      </c>
    </row>
    <row r="26" spans="2:4" x14ac:dyDescent="0.25">
      <c r="B26" s="41" t="s">
        <v>60</v>
      </c>
      <c r="C26" s="43">
        <v>7.8539999999999999E-2</v>
      </c>
      <c r="D26" s="45">
        <v>0.05</v>
      </c>
    </row>
    <row r="27" spans="2:4" x14ac:dyDescent="0.25">
      <c r="B27" s="41" t="s">
        <v>212</v>
      </c>
      <c r="C27" s="43">
        <v>3.1449999999999999E-2</v>
      </c>
      <c r="D27" s="45">
        <v>0.05</v>
      </c>
    </row>
    <row r="28" spans="2:4" x14ac:dyDescent="0.25">
      <c r="B28" s="41" t="s">
        <v>166</v>
      </c>
      <c r="C28" s="43">
        <v>1.7000000000000001E-2</v>
      </c>
      <c r="D28" s="45">
        <v>5.3999999999999999E-2</v>
      </c>
    </row>
    <row r="29" spans="2:4" x14ac:dyDescent="0.25">
      <c r="B29" s="41" t="s">
        <v>78</v>
      </c>
      <c r="C29" s="43">
        <v>0.30345</v>
      </c>
      <c r="D29" s="45">
        <v>5.8999999999999997E-2</v>
      </c>
    </row>
    <row r="30" spans="2:4" x14ac:dyDescent="0.25">
      <c r="B30" s="41" t="s">
        <v>66</v>
      </c>
      <c r="C30" s="43">
        <v>0.58140000000000003</v>
      </c>
      <c r="D30" s="45">
        <v>6.2E-2</v>
      </c>
    </row>
    <row r="31" spans="2:4" x14ac:dyDescent="0.25">
      <c r="B31" s="41" t="s">
        <v>48</v>
      </c>
      <c r="C31" s="43">
        <v>8.8695652173912995E-2</v>
      </c>
      <c r="D31" s="45">
        <v>6.6000000000000003E-2</v>
      </c>
    </row>
    <row r="32" spans="2:4" x14ac:dyDescent="0.25">
      <c r="B32" s="41" t="s">
        <v>121</v>
      </c>
      <c r="C32" s="43">
        <v>0.104833333333333</v>
      </c>
      <c r="D32" s="45">
        <v>9.7000000000000003E-2</v>
      </c>
    </row>
    <row r="33" spans="2:4" x14ac:dyDescent="0.25">
      <c r="B33" s="41" t="s">
        <v>164</v>
      </c>
      <c r="C33" s="43">
        <v>5.6748684210526E-2</v>
      </c>
      <c r="D33" s="45">
        <v>9.9000000000000005E-2</v>
      </c>
    </row>
    <row r="34" spans="2:4" x14ac:dyDescent="0.25">
      <c r="B34" s="41" t="s">
        <v>183</v>
      </c>
      <c r="C34" s="43">
        <v>1.6574999999999999E-2</v>
      </c>
      <c r="D34" s="45">
        <v>9.9000000000000005E-2</v>
      </c>
    </row>
    <row r="35" spans="2:4" x14ac:dyDescent="0.25">
      <c r="B35" s="41" t="s">
        <v>196</v>
      </c>
      <c r="C35" s="43">
        <v>2.1547500000000001E-2</v>
      </c>
      <c r="D35" s="45">
        <v>0.123</v>
      </c>
    </row>
    <row r="36" spans="2:4" x14ac:dyDescent="0.25">
      <c r="B36" s="41" t="s">
        <v>85</v>
      </c>
      <c r="C36" s="43">
        <v>8.8457211538462005E-2</v>
      </c>
      <c r="D36" s="45">
        <v>0.13300000000000001</v>
      </c>
    </row>
    <row r="37" spans="2:4" x14ac:dyDescent="0.25">
      <c r="B37" s="41" t="s">
        <v>80</v>
      </c>
      <c r="C37" s="43">
        <v>0.36683571428571399</v>
      </c>
      <c r="D37" s="45">
        <v>0.13700000000000001</v>
      </c>
    </row>
    <row r="38" spans="2:4" x14ac:dyDescent="0.25">
      <c r="B38" s="41" t="s">
        <v>198</v>
      </c>
      <c r="C38" s="43">
        <v>6.9529999999999995E-2</v>
      </c>
      <c r="D38" s="45">
        <v>0.157</v>
      </c>
    </row>
    <row r="39" spans="2:4" x14ac:dyDescent="0.25">
      <c r="B39" s="41" t="s">
        <v>107</v>
      </c>
      <c r="C39" s="43">
        <v>0.35699999999999998</v>
      </c>
      <c r="D39" s="45">
        <v>0.191</v>
      </c>
    </row>
    <row r="40" spans="2:4" x14ac:dyDescent="0.25">
      <c r="B40" s="41" t="s">
        <v>112</v>
      </c>
      <c r="C40" s="43">
        <v>0.44455</v>
      </c>
      <c r="D40" s="45">
        <v>0.20300000000000001</v>
      </c>
    </row>
    <row r="41" spans="2:4" x14ac:dyDescent="0.25">
      <c r="B41" s="41" t="s">
        <v>77</v>
      </c>
      <c r="C41" s="43">
        <v>0.38633403359858498</v>
      </c>
      <c r="D41" s="45">
        <v>0.20799999999999999</v>
      </c>
    </row>
    <row r="42" spans="2:4" x14ac:dyDescent="0.25">
      <c r="B42" s="41" t="s">
        <v>56</v>
      </c>
      <c r="C42" s="43">
        <v>0.14535000000000001</v>
      </c>
      <c r="D42" s="45">
        <v>0.21099999999999999</v>
      </c>
    </row>
    <row r="43" spans="2:4" x14ac:dyDescent="0.25">
      <c r="B43" s="41" t="s">
        <v>98</v>
      </c>
      <c r="C43" s="43">
        <v>3.4728571428570998E-2</v>
      </c>
      <c r="D43" s="45">
        <v>0.21099999999999999</v>
      </c>
    </row>
    <row r="44" spans="2:4" x14ac:dyDescent="0.25">
      <c r="B44" s="41" t="s">
        <v>126</v>
      </c>
      <c r="C44" s="43">
        <v>0.54156419357669405</v>
      </c>
      <c r="D44" s="45">
        <v>0.24199999999999999</v>
      </c>
    </row>
    <row r="45" spans="2:4" x14ac:dyDescent="0.25">
      <c r="B45" s="41" t="s">
        <v>120</v>
      </c>
      <c r="C45" s="43">
        <v>0.37230000000000002</v>
      </c>
      <c r="D45" s="45">
        <v>0.251</v>
      </c>
    </row>
    <row r="46" spans="2:4" x14ac:dyDescent="0.25">
      <c r="B46" s="41" t="s">
        <v>472</v>
      </c>
      <c r="C46" s="43">
        <v>0.38025510204081597</v>
      </c>
      <c r="D46" s="45">
        <v>0.48799999999999999</v>
      </c>
    </row>
    <row r="47" spans="2:4" x14ac:dyDescent="0.25">
      <c r="B47" s="41" t="s">
        <v>105</v>
      </c>
      <c r="C47" s="43">
        <v>0.135656565656566</v>
      </c>
      <c r="D47" s="45">
        <v>0.51200000000000001</v>
      </c>
    </row>
    <row r="48" spans="2:4" x14ac:dyDescent="0.25">
      <c r="B48" s="41" t="s">
        <v>100</v>
      </c>
      <c r="C48" s="43">
        <v>0.442</v>
      </c>
      <c r="D48" s="45">
        <v>0.68500000000000005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BB095929DA22418AD4347A154E4E72" ma:contentTypeVersion="11" ma:contentTypeDescription="Create a new document." ma:contentTypeScope="" ma:versionID="de5e769605f27285f84ad8d2c8f84a4a">
  <xsd:schema xmlns:xsd="http://www.w3.org/2001/XMLSchema" xmlns:xs="http://www.w3.org/2001/XMLSchema" xmlns:p="http://schemas.microsoft.com/office/2006/metadata/properties" xmlns:ns3="c335df25-0155-4680-bb93-415786a39345" xmlns:ns4="c2a5f4c6-8c87-4a63-9535-0352fa176922" targetNamespace="http://schemas.microsoft.com/office/2006/metadata/properties" ma:root="true" ma:fieldsID="e0c6a2e77b12d7a75a55f0cf3458982a" ns3:_="" ns4:_="">
    <xsd:import namespace="c335df25-0155-4680-bb93-415786a39345"/>
    <xsd:import namespace="c2a5f4c6-8c87-4a63-9535-0352fa17692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35df25-0155-4680-bb93-415786a3934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a5f4c6-8c87-4a63-9535-0352fa1769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907AB7-5846-47B6-B1E2-1CDBD9AF99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35df25-0155-4680-bb93-415786a39345"/>
    <ds:schemaRef ds:uri="c2a5f4c6-8c87-4a63-9535-0352fa1769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54F205-F40B-4BB1-A1E2-E372C741B614}">
  <ds:schemaRefs>
    <ds:schemaRef ds:uri="c335df25-0155-4680-bb93-415786a39345"/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c2a5f4c6-8c87-4a63-9535-0352fa176922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1300E60-65B9-4842-B204-BDF6EF403C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Averaging of Contribution Score</vt:lpstr>
      <vt:lpstr>Scoring and Weighting</vt:lpstr>
      <vt:lpstr>MasterGISTable with Scoring</vt:lpstr>
      <vt:lpstr>Table with Jurisdictions</vt:lpstr>
      <vt:lpstr>Summary Table for Print</vt:lpstr>
      <vt:lpstr>Sheet1</vt:lpstr>
      <vt:lpstr>Sheet2</vt:lpstr>
      <vt:lpstr>ratio of flow</vt:lpstr>
      <vt:lpstr>'Scoring and Weighting'!Print_Area</vt:lpstr>
      <vt:lpstr>'Summary Table for Print'!Print_Area</vt:lpstr>
      <vt:lpstr>'Table with Jurisdictions'!Print_Area</vt:lpstr>
      <vt:lpstr>'Summary Table for Print'!Print_Titles</vt:lpstr>
      <vt:lpstr>'Table with Jurisdictions'!Print_Titles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Grewal, Justin</dc:creator>
  <cp:lastModifiedBy>Given, Suzan</cp:lastModifiedBy>
  <cp:lastPrinted>2016-09-09T23:18:54Z</cp:lastPrinted>
  <dcterms:created xsi:type="dcterms:W3CDTF">2016-07-19T17:05:48Z</dcterms:created>
  <dcterms:modified xsi:type="dcterms:W3CDTF">2022-01-04T23:11:58Z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0x010100E3BB095929DA22418AD4347A154E4E72</vt:lpwstr>
  </property>
</Properties>
</file>