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10" yWindow="-110" windowWidth="19420" windowHeight="10300"/>
  </bookViews>
  <sheets>
    <sheet name="Лист1" sheetId="1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7" i="1"/>
  <c r="L78"/>
  <c r="L79"/>
  <c r="L80"/>
  <c r="L81"/>
  <c r="L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76"/>
  <c r="B40"/>
  <c r="D29" l="1"/>
  <c r="D31" s="1"/>
  <c r="M8"/>
  <c r="M7"/>
  <c r="F41" s="1"/>
  <c r="F42" s="1"/>
  <c r="M2"/>
  <c r="C28"/>
  <c r="C29" s="1"/>
  <c r="D28"/>
  <c r="E28"/>
  <c r="E29" s="1"/>
  <c r="E30" s="1"/>
  <c r="F28"/>
  <c r="F29" s="1"/>
  <c r="G28"/>
  <c r="G29" s="1"/>
  <c r="B28"/>
  <c r="B29" s="1"/>
  <c r="C21"/>
  <c r="C22" s="1"/>
  <c r="D21"/>
  <c r="D22" s="1"/>
  <c r="E21"/>
  <c r="E22" s="1"/>
  <c r="F21"/>
  <c r="F22" s="1"/>
  <c r="G21"/>
  <c r="G22" s="1"/>
  <c r="G24" s="1"/>
  <c r="B21"/>
  <c r="B22" s="1"/>
  <c r="C14"/>
  <c r="C15" s="1"/>
  <c r="D14"/>
  <c r="D15" s="1"/>
  <c r="E14"/>
  <c r="E15" s="1"/>
  <c r="F14"/>
  <c r="F15" s="1"/>
  <c r="G14"/>
  <c r="G15" s="1"/>
  <c r="B14"/>
  <c r="B15" s="1"/>
  <c r="C6"/>
  <c r="C8" s="1"/>
  <c r="C10" s="1"/>
  <c r="D6"/>
  <c r="D8" s="1"/>
  <c r="E6"/>
  <c r="E8" s="1"/>
  <c r="F6"/>
  <c r="F8" s="1"/>
  <c r="G6"/>
  <c r="G8" s="1"/>
  <c r="B6"/>
  <c r="E23" l="1"/>
  <c r="E24"/>
  <c r="F24"/>
  <c r="F23"/>
  <c r="D10"/>
  <c r="D9"/>
  <c r="G30"/>
  <c r="G31"/>
  <c r="C30"/>
  <c r="C31"/>
  <c r="B24"/>
  <c r="B23"/>
  <c r="E9"/>
  <c r="E10"/>
  <c r="C17"/>
  <c r="C16"/>
  <c r="F9"/>
  <c r="F10"/>
  <c r="G9"/>
  <c r="G10"/>
  <c r="G16"/>
  <c r="G17"/>
  <c r="B16"/>
  <c r="B17"/>
  <c r="F30"/>
  <c r="F31"/>
  <c r="D17"/>
  <c r="D16"/>
  <c r="B31"/>
  <c r="B30"/>
  <c r="E17"/>
  <c r="E16"/>
  <c r="C24"/>
  <c r="C23"/>
  <c r="F17"/>
  <c r="F16"/>
  <c r="D23"/>
  <c r="D24"/>
  <c r="D38" s="1"/>
  <c r="J3"/>
  <c r="D30"/>
  <c r="E41"/>
  <c r="E42" s="1"/>
  <c r="D41"/>
  <c r="D42" s="1"/>
  <c r="E31"/>
  <c r="C41"/>
  <c r="C42" s="1"/>
  <c r="B41"/>
  <c r="B42" s="1"/>
  <c r="G23"/>
  <c r="B8"/>
  <c r="C9"/>
  <c r="G41"/>
  <c r="G42" s="1"/>
  <c r="J5"/>
  <c r="J4"/>
  <c r="E34" l="1"/>
  <c r="E36" s="1"/>
  <c r="E37"/>
  <c r="E38"/>
  <c r="C37"/>
  <c r="C38"/>
  <c r="C53"/>
  <c r="F38"/>
  <c r="F37"/>
  <c r="G35"/>
  <c r="G34"/>
  <c r="G36" s="1"/>
  <c r="C35"/>
  <c r="C34"/>
  <c r="C36" s="1"/>
  <c r="E35"/>
  <c r="E40" s="1"/>
  <c r="D37"/>
  <c r="D39" s="1"/>
  <c r="G38"/>
  <c r="G39" s="1"/>
  <c r="G37"/>
  <c r="B53"/>
  <c r="B51"/>
  <c r="G53" s="1"/>
  <c r="B9"/>
  <c r="B34" s="1"/>
  <c r="B36" s="1"/>
  <c r="B10"/>
  <c r="B37" s="1"/>
  <c r="D35"/>
  <c r="D34"/>
  <c r="D36" s="1"/>
  <c r="F35"/>
  <c r="F34"/>
  <c r="F36" s="1"/>
  <c r="D53"/>
  <c r="J6"/>
  <c r="B7" s="1"/>
  <c r="J8" s="1"/>
  <c r="J9" s="1"/>
  <c r="D40" l="1"/>
  <c r="B35"/>
  <c r="C39"/>
  <c r="E53"/>
  <c r="F39"/>
  <c r="E39"/>
  <c r="G40"/>
  <c r="B38"/>
  <c r="B39" s="1"/>
  <c r="F53"/>
  <c r="B56" s="1"/>
  <c r="F40"/>
  <c r="C40"/>
  <c r="B52" l="1"/>
  <c r="F54" s="1"/>
  <c r="B60"/>
  <c r="G54" l="1"/>
  <c r="D54"/>
  <c r="C54"/>
  <c r="B54"/>
  <c r="E54"/>
  <c r="B55" l="1"/>
  <c r="B57" s="1"/>
  <c r="B58" s="1"/>
  <c r="D59" l="1"/>
  <c r="G59"/>
  <c r="C59"/>
  <c r="B59"/>
  <c r="F59"/>
  <c r="E59"/>
  <c r="B61" l="1"/>
  <c r="B62"/>
  <c r="B63" l="1"/>
</calcChain>
</file>

<file path=xl/sharedStrings.xml><?xml version="1.0" encoding="utf-8"?>
<sst xmlns="http://schemas.openxmlformats.org/spreadsheetml/2006/main" count="74" uniqueCount="59">
  <si>
    <t>Масса Груза</t>
  </si>
  <si>
    <t>1 риска</t>
  </si>
  <si>
    <t>2 риска</t>
  </si>
  <si>
    <t>3 риска</t>
  </si>
  <si>
    <t>4 риска</t>
  </si>
  <si>
    <t>5 риска</t>
  </si>
  <si>
    <t>6 риска</t>
  </si>
  <si>
    <t>m1</t>
  </si>
  <si>
    <t>m2</t>
  </si>
  <si>
    <t>m3</t>
  </si>
  <si>
    <t>m4</t>
  </si>
  <si>
    <t>t_ср</t>
  </si>
  <si>
    <t>\delta t_ср</t>
  </si>
  <si>
    <t>Масса каретки</t>
  </si>
  <si>
    <t>значение (г)</t>
  </si>
  <si>
    <t>Масса шайбы</t>
  </si>
  <si>
    <t>Масса грузов на крестовине</t>
  </si>
  <si>
    <t>значение (мм)</t>
  </si>
  <si>
    <t>погрешность измерений(мм)</t>
  </si>
  <si>
    <t>погрешность измерений (г)</t>
  </si>
  <si>
    <t>расстояние от перовой риски до оси</t>
  </si>
  <si>
    <t>расстояние между рисками</t>
  </si>
  <si>
    <t>диаметр ступицы</t>
  </si>
  <si>
    <t>диаметр груза на крестовине</t>
  </si>
  <si>
    <t>высота груза на крестовине</t>
  </si>
  <si>
    <t>a</t>
  </si>
  <si>
    <t>\epsilon</t>
  </si>
  <si>
    <t>M</t>
  </si>
  <si>
    <t>Высота опускания каретки</t>
  </si>
  <si>
    <t>g</t>
  </si>
  <si>
    <t>м/с^2</t>
  </si>
  <si>
    <t>sum x_i</t>
  </si>
  <si>
    <t>sum x^2_i</t>
  </si>
  <si>
    <t>(sum x_i)^2</t>
  </si>
  <si>
    <t>sum y_i</t>
  </si>
  <si>
    <t>sum (x_i*y_i)</t>
  </si>
  <si>
    <t>М_Тр</t>
  </si>
  <si>
    <t>I</t>
  </si>
  <si>
    <t>R</t>
  </si>
  <si>
    <t>R^2</t>
  </si>
  <si>
    <t>&lt;x&gt;</t>
  </si>
  <si>
    <t>&lt;y&gt;</t>
  </si>
  <si>
    <t>x-&lt;x&gt;</t>
  </si>
  <si>
    <t>y-&lt;y&gt;</t>
  </si>
  <si>
    <t>b_1пром</t>
  </si>
  <si>
    <t>b_2пром</t>
  </si>
  <si>
    <t>d_i</t>
  </si>
  <si>
    <t>DD</t>
  </si>
  <si>
    <t xml:space="preserve">\delta_y </t>
  </si>
  <si>
    <t>I_0</t>
  </si>
  <si>
    <t>4m_ут</t>
  </si>
  <si>
    <t>S^2_m_ут</t>
  </si>
  <si>
    <t>S^2_I_0</t>
  </si>
  <si>
    <t>\delta_a</t>
  </si>
  <si>
    <t>\delta_eps</t>
  </si>
  <si>
    <t>\delta_M</t>
  </si>
  <si>
    <t>M_ТР</t>
  </si>
  <si>
    <t>M_расч</t>
  </si>
  <si>
    <t>I_расч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</si>
</sst>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99"/>
  <sheetViews>
    <sheetView tabSelected="1" topLeftCell="A16" workbookViewId="0">
      <selection activeCell="L76" sqref="L76:L81"/>
    </sheetView>
  </sheetViews>
  <sheetFormatPr defaultRowHeight="14.5"/>
  <cols>
    <col min="1" max="1" width="10.7265625" customWidth="1"/>
    <col min="2" max="2" width="11.81640625" bestFit="1" customWidth="1"/>
    <col min="11" max="11" width="7.453125" customWidth="1"/>
    <col min="12" max="12" width="15.453125" customWidth="1"/>
    <col min="13" max="13" width="14" customWidth="1"/>
  </cols>
  <sheetData>
    <row r="1" spans="1:14">
      <c r="A1" t="s">
        <v>0</v>
      </c>
      <c r="M1" t="s">
        <v>14</v>
      </c>
      <c r="N1" t="s">
        <v>19</v>
      </c>
    </row>
    <row r="2" spans="1:14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L2" t="s">
        <v>13</v>
      </c>
      <c r="M2">
        <f xml:space="preserve"> 47</f>
        <v>47</v>
      </c>
      <c r="N2">
        <v>0.5</v>
      </c>
    </row>
    <row r="3" spans="1:14">
      <c r="A3" t="s">
        <v>7</v>
      </c>
      <c r="B3">
        <v>4.5999999999999996</v>
      </c>
      <c r="C3">
        <v>5.53</v>
      </c>
      <c r="D3">
        <v>6.56</v>
      </c>
      <c r="E3">
        <v>7.42</v>
      </c>
      <c r="F3">
        <v>8.5299999999999994</v>
      </c>
      <c r="G3">
        <v>9.68</v>
      </c>
      <c r="J3">
        <f xml:space="preserve"> ($B$6 - B3)*($B$6-B3)</f>
        <v>3.6000000000000597E-3</v>
      </c>
      <c r="L3" t="s">
        <v>15</v>
      </c>
      <c r="M3">
        <v>220</v>
      </c>
      <c r="N3">
        <v>0.5</v>
      </c>
    </row>
    <row r="4" spans="1:14">
      <c r="B4">
        <v>4.66</v>
      </c>
      <c r="C4">
        <v>5.55</v>
      </c>
      <c r="D4">
        <v>6.6</v>
      </c>
      <c r="E4">
        <v>7.41</v>
      </c>
      <c r="F4">
        <v>8.6300000000000008</v>
      </c>
      <c r="G4">
        <v>9.66</v>
      </c>
      <c r="J4">
        <f t="shared" ref="J4:J5" si="0" xml:space="preserve"> ($B$6 - B4)*($B$6-B4)</f>
        <v>0</v>
      </c>
      <c r="L4" t="s">
        <v>16</v>
      </c>
      <c r="M4">
        <v>408</v>
      </c>
      <c r="N4">
        <v>0.5</v>
      </c>
    </row>
    <row r="5" spans="1:14">
      <c r="B5">
        <v>4.72</v>
      </c>
      <c r="C5">
        <v>5.6</v>
      </c>
      <c r="D5">
        <v>6.6</v>
      </c>
      <c r="E5">
        <v>7.47</v>
      </c>
      <c r="F5">
        <v>8.6300000000000008</v>
      </c>
      <c r="G5">
        <v>9.7100000000000009</v>
      </c>
      <c r="J5">
        <f t="shared" si="0"/>
        <v>3.5999999999999531E-3</v>
      </c>
      <c r="L5" t="s">
        <v>28</v>
      </c>
      <c r="M5">
        <v>700</v>
      </c>
      <c r="N5">
        <v>1</v>
      </c>
    </row>
    <row r="6" spans="1:14">
      <c r="A6" t="s">
        <v>11</v>
      </c>
      <c r="B6">
        <f xml:space="preserve"> (B3+B4+B5)/3</f>
        <v>4.66</v>
      </c>
      <c r="C6">
        <f t="shared" ref="C6:G6" si="1" xml:space="preserve"> (C3+C4+C5)/3</f>
        <v>5.56</v>
      </c>
      <c r="D6">
        <f t="shared" si="1"/>
        <v>6.586666666666666</v>
      </c>
      <c r="E6">
        <f t="shared" si="1"/>
        <v>7.4333333333333336</v>
      </c>
      <c r="F6">
        <f t="shared" si="1"/>
        <v>8.5966666666666658</v>
      </c>
      <c r="G6">
        <f t="shared" si="1"/>
        <v>9.6833333333333336</v>
      </c>
      <c r="J6">
        <f>SQRT((J3+J4+J5)/6)</f>
        <v>3.4641016151377574E-2</v>
      </c>
      <c r="M6" t="s">
        <v>17</v>
      </c>
      <c r="N6" t="s">
        <v>18</v>
      </c>
    </row>
    <row r="7" spans="1:14">
      <c r="A7" t="s">
        <v>12</v>
      </c>
      <c r="B7">
        <f>4.6*J6</f>
        <v>0.15934867429633684</v>
      </c>
      <c r="L7" t="s">
        <v>20</v>
      </c>
      <c r="M7">
        <f>57</f>
        <v>57</v>
      </c>
      <c r="N7">
        <v>0.5</v>
      </c>
    </row>
    <row r="8" spans="1:14">
      <c r="A8" t="s">
        <v>25</v>
      </c>
      <c r="B8">
        <f xml:space="preserve"> 2*($M$5/1000)/(B6*B6)</f>
        <v>6.4469782092136524E-2</v>
      </c>
      <c r="C8">
        <f t="shared" ref="C8:G8" si="2" xml:space="preserve"> 2*($M$5/1000)/(C6*C6)</f>
        <v>4.5287510998395529E-2</v>
      </c>
      <c r="D8">
        <f t="shared" si="2"/>
        <v>3.2269829041616814E-2</v>
      </c>
      <c r="E8">
        <f t="shared" si="2"/>
        <v>2.5337328319491644E-2</v>
      </c>
      <c r="F8">
        <f t="shared" si="2"/>
        <v>1.8943833188423034E-2</v>
      </c>
      <c r="G8">
        <f t="shared" si="2"/>
        <v>1.4930634759347198E-2</v>
      </c>
      <c r="I8" t="s">
        <v>53</v>
      </c>
      <c r="J8">
        <f>SQRT((2/B6)*(2/B6)*0.001 * 0.001 + (6*0.7/(B6*B6*B6))*(6*0.7/(B6*B6*B6))*B7*B7)</f>
        <v>6.6275426351163442E-3</v>
      </c>
      <c r="L8" t="s">
        <v>21</v>
      </c>
      <c r="M8">
        <f>25</f>
        <v>25</v>
      </c>
      <c r="N8">
        <v>0.2</v>
      </c>
    </row>
    <row r="9" spans="1:14">
      <c r="A9" t="s">
        <v>26</v>
      </c>
      <c r="B9">
        <f>2*B8/($M$9/1000)</f>
        <v>2.8030340040059358</v>
      </c>
      <c r="C9">
        <f t="shared" ref="C9" si="3">2*C8/($M$9/1000)</f>
        <v>1.9690222173215448</v>
      </c>
      <c r="D9">
        <f t="shared" ref="D9" si="4">2*D8/($M$9/1000)</f>
        <v>1.4030360452876875</v>
      </c>
      <c r="E9">
        <f t="shared" ref="E9" si="5">2*E8/($M$9/1000)</f>
        <v>1.1016229704126801</v>
      </c>
      <c r="F9">
        <f t="shared" ref="F9" si="6">2*F8/($M$9/1000)</f>
        <v>0.82364492123578414</v>
      </c>
      <c r="G9">
        <f t="shared" ref="G9" si="7">2*G8/($M$9/1000)</f>
        <v>0.64915803301509556</v>
      </c>
      <c r="I9" t="s">
        <v>54</v>
      </c>
      <c r="J9">
        <f>SQRT((2/0.046)*(2/0.046)*J8*J8 + (2*J8/(0.046*0.046))*(2*J8/(0.046*0.046))*0.046)</f>
        <v>1.3740787414704716</v>
      </c>
      <c r="L9" t="s">
        <v>22</v>
      </c>
      <c r="M9">
        <v>46</v>
      </c>
      <c r="N9">
        <v>0.5</v>
      </c>
    </row>
    <row r="10" spans="1:14">
      <c r="A10" t="s">
        <v>27</v>
      </c>
      <c r="B10">
        <f>($M$13 - B8)*($M$2+$M$3)*($M$9)/(2*1000000)</f>
        <v>5.9785891068172198E-2</v>
      </c>
      <c r="C10">
        <f t="shared" ref="C10:G10" si="8">($M$13 - C8)*($M$2+$M$3)*($M$9)/(2*1000000)</f>
        <v>5.990368939495886E-2</v>
      </c>
      <c r="D10">
        <f t="shared" si="8"/>
        <v>5.9983630979855429E-2</v>
      </c>
      <c r="E10">
        <f t="shared" si="8"/>
        <v>6.002620346679001E-2</v>
      </c>
      <c r="F10">
        <f t="shared" si="8"/>
        <v>6.0065465920389902E-2</v>
      </c>
      <c r="G10">
        <f t="shared" si="8"/>
        <v>6.0090110971942855E-2</v>
      </c>
      <c r="I10" t="s">
        <v>55</v>
      </c>
      <c r="J10">
        <v>8.7299999999999999E-3</v>
      </c>
      <c r="L10" t="s">
        <v>23</v>
      </c>
      <c r="M10">
        <v>40</v>
      </c>
      <c r="N10">
        <v>0.5</v>
      </c>
    </row>
    <row r="11" spans="1:14">
      <c r="A11" t="s">
        <v>8</v>
      </c>
      <c r="B11">
        <v>3.41</v>
      </c>
      <c r="C11">
        <v>4.05</v>
      </c>
      <c r="D11">
        <v>4.63</v>
      </c>
      <c r="E11">
        <v>5.36</v>
      </c>
      <c r="F11">
        <v>6.27</v>
      </c>
      <c r="G11">
        <v>6.93</v>
      </c>
      <c r="L11" t="s">
        <v>24</v>
      </c>
      <c r="M11">
        <v>40</v>
      </c>
      <c r="N11">
        <v>0.5</v>
      </c>
    </row>
    <row r="12" spans="1:14">
      <c r="B12">
        <v>3.48</v>
      </c>
      <c r="C12">
        <v>4.03</v>
      </c>
      <c r="D12" s="1">
        <v>4.5999999999999996</v>
      </c>
      <c r="E12">
        <v>5.41</v>
      </c>
      <c r="F12">
        <v>6.37</v>
      </c>
      <c r="G12">
        <v>7.01</v>
      </c>
    </row>
    <row r="13" spans="1:14">
      <c r="B13">
        <v>3.45</v>
      </c>
      <c r="C13">
        <v>4.0599999999999996</v>
      </c>
      <c r="D13">
        <v>4.58</v>
      </c>
      <c r="E13">
        <v>5.4</v>
      </c>
      <c r="F13">
        <v>6.27</v>
      </c>
      <c r="G13">
        <v>7</v>
      </c>
      <c r="L13" t="s">
        <v>29</v>
      </c>
      <c r="M13">
        <v>9.8000000000000007</v>
      </c>
      <c r="N13" t="s">
        <v>30</v>
      </c>
    </row>
    <row r="14" spans="1:14">
      <c r="A14" t="s">
        <v>11</v>
      </c>
      <c r="B14">
        <f xml:space="preserve"> (B11+B12+B13)/3</f>
        <v>3.4466666666666668</v>
      </c>
      <c r="C14">
        <f t="shared" ref="C14:G14" si="9" xml:space="preserve"> (C11+C12+C13)/3</f>
        <v>4.0466666666666669</v>
      </c>
      <c r="D14">
        <f t="shared" si="9"/>
        <v>4.6033333333333335</v>
      </c>
      <c r="E14">
        <f t="shared" si="9"/>
        <v>5.3900000000000006</v>
      </c>
      <c r="F14">
        <f t="shared" si="9"/>
        <v>6.3033333333333337</v>
      </c>
      <c r="G14">
        <f t="shared" si="9"/>
        <v>6.9799999999999995</v>
      </c>
    </row>
    <row r="15" spans="1:14">
      <c r="A15" t="s">
        <v>25</v>
      </c>
      <c r="B15">
        <f xml:space="preserve"> 2*($M$5/1000)/(B14*B14)</f>
        <v>0.11784996763802474</v>
      </c>
      <c r="C15">
        <f t="shared" ref="C15:G15" si="10" xml:space="preserve"> 2*($M$5/1000)/(C14*C14)</f>
        <v>8.5493514706241558E-2</v>
      </c>
      <c r="D15">
        <f t="shared" si="10"/>
        <v>6.6066787229814364E-2</v>
      </c>
      <c r="E15">
        <f t="shared" si="10"/>
        <v>4.8189287521383982E-2</v>
      </c>
      <c r="F15">
        <f t="shared" si="10"/>
        <v>3.5236071893891323E-2</v>
      </c>
      <c r="G15">
        <f t="shared" si="10"/>
        <v>2.8735396261114446E-2</v>
      </c>
    </row>
    <row r="16" spans="1:14">
      <c r="A16" t="s">
        <v>26</v>
      </c>
      <c r="B16">
        <f>2*B15/($M$9/1000)</f>
        <v>5.1239116364358583</v>
      </c>
      <c r="C16">
        <f t="shared" ref="C16:G16" si="11">2*C15/($M$9/1000)</f>
        <v>3.7171093350539808</v>
      </c>
      <c r="D16">
        <f t="shared" si="11"/>
        <v>2.8724690099919288</v>
      </c>
      <c r="E16">
        <f t="shared" si="11"/>
        <v>2.0951864139732166</v>
      </c>
      <c r="F16">
        <f t="shared" si="11"/>
        <v>1.5320031258213618</v>
      </c>
      <c r="G16">
        <f t="shared" si="11"/>
        <v>1.2493650548310629</v>
      </c>
    </row>
    <row r="17" spans="1:7">
      <c r="A17" t="s">
        <v>27</v>
      </c>
      <c r="B17">
        <f>($M$13 - B15)*($M$2+2*$M$3)*($M$9)/(2*1000000)</f>
        <v>0.1084497625124865</v>
      </c>
      <c r="C17">
        <f t="shared" ref="C17:G17" si="12">($M$13 - C15)*($M$2+2*$M$3)*($M$9)/(2*1000000)</f>
        <v>0.1088121871417754</v>
      </c>
      <c r="D17">
        <f t="shared" si="12"/>
        <v>0.10902978591623887</v>
      </c>
      <c r="E17">
        <f t="shared" si="12"/>
        <v>0.10923003179047298</v>
      </c>
      <c r="F17">
        <f t="shared" si="12"/>
        <v>0.10937512075871653</v>
      </c>
      <c r="G17">
        <f t="shared" si="12"/>
        <v>0.10944793482647927</v>
      </c>
    </row>
    <row r="18" spans="1:7">
      <c r="A18" t="s">
        <v>9</v>
      </c>
      <c r="B18">
        <v>2.75</v>
      </c>
      <c r="C18">
        <v>3.37</v>
      </c>
      <c r="D18">
        <v>3.83</v>
      </c>
      <c r="E18">
        <v>4.4000000000000004</v>
      </c>
      <c r="F18">
        <v>4.9800000000000004</v>
      </c>
      <c r="G18">
        <v>5.63</v>
      </c>
    </row>
    <row r="19" spans="1:7">
      <c r="B19">
        <v>2.7</v>
      </c>
      <c r="C19">
        <v>3.4</v>
      </c>
      <c r="D19">
        <v>3.77</v>
      </c>
      <c r="E19">
        <v>4.3499999999999996</v>
      </c>
      <c r="F19">
        <v>5.0999999999999996</v>
      </c>
      <c r="G19">
        <v>5.73</v>
      </c>
    </row>
    <row r="20" spans="1:7">
      <c r="B20">
        <v>2.8</v>
      </c>
      <c r="C20">
        <v>3.35</v>
      </c>
      <c r="D20">
        <v>3.8</v>
      </c>
      <c r="E20">
        <v>2.35</v>
      </c>
      <c r="F20">
        <v>5.08</v>
      </c>
      <c r="G20">
        <v>5.71</v>
      </c>
    </row>
    <row r="21" spans="1:7">
      <c r="A21" t="s">
        <v>11</v>
      </c>
      <c r="B21">
        <f>(B18+B19+B20)/3</f>
        <v>2.75</v>
      </c>
      <c r="C21">
        <f t="shared" ref="C21:G21" si="13">(C18+C19+C20)/3</f>
        <v>3.3733333333333331</v>
      </c>
      <c r="D21">
        <f t="shared" si="13"/>
        <v>3.7999999999999994</v>
      </c>
      <c r="E21">
        <f t="shared" si="13"/>
        <v>3.6999999999999997</v>
      </c>
      <c r="F21">
        <f t="shared" si="13"/>
        <v>5.0533333333333337</v>
      </c>
      <c r="G21">
        <f t="shared" si="13"/>
        <v>5.69</v>
      </c>
    </row>
    <row r="22" spans="1:7">
      <c r="A22" t="s">
        <v>25</v>
      </c>
      <c r="B22">
        <f xml:space="preserve"> 2*($M$5/1000)/(B21*B21)</f>
        <v>0.18512396694214875</v>
      </c>
      <c r="C22">
        <f t="shared" ref="C22" si="14" xml:space="preserve"> 2*($M$5/1000)/(C21*C21)</f>
        <v>0.12302957396616102</v>
      </c>
      <c r="D22">
        <f t="shared" ref="D22" si="15" xml:space="preserve"> 2*($M$5/1000)/(D21*D21)</f>
        <v>9.6952908587257636E-2</v>
      </c>
      <c r="E22">
        <f t="shared" ref="E22" si="16" xml:space="preserve"> 2*($M$5/1000)/(E21*E21)</f>
        <v>0.10226442658875093</v>
      </c>
      <c r="F22">
        <f t="shared" ref="F22" si="17" xml:space="preserve"> 2*($M$5/1000)/(F21*F21)</f>
        <v>5.4824179725844281E-2</v>
      </c>
      <c r="G22">
        <f t="shared" ref="G22" si="18" xml:space="preserve"> 2*($M$5/1000)/(G21*G21)</f>
        <v>4.3241774024666342E-2</v>
      </c>
    </row>
    <row r="23" spans="1:7">
      <c r="A23" t="s">
        <v>26</v>
      </c>
      <c r="B23">
        <f>2*B22/($M$9/1000)</f>
        <v>8.0488681279195102</v>
      </c>
      <c r="C23">
        <f t="shared" ref="C23" si="19">2*C22/($M$9/1000)</f>
        <v>5.3491119115722183</v>
      </c>
      <c r="D23">
        <f t="shared" ref="D23" si="20">2*D22/($M$9/1000)</f>
        <v>4.2153438516198971</v>
      </c>
      <c r="E23">
        <f t="shared" ref="E23" si="21">2*E22/($M$9/1000)</f>
        <v>4.4462794169022146</v>
      </c>
      <c r="F23">
        <f t="shared" ref="F23" si="22">2*F22/($M$9/1000)</f>
        <v>2.3836599880801863</v>
      </c>
      <c r="G23">
        <f t="shared" ref="G23" si="23">2*G22/($M$9/1000)</f>
        <v>1.8800771315072322</v>
      </c>
    </row>
    <row r="24" spans="1:7">
      <c r="A24" t="s">
        <v>27</v>
      </c>
      <c r="B24">
        <f>($M$13 - B22)*($M$2+3*$M$3)*($M$9)/(2*1000000)</f>
        <v>0.15634749917355373</v>
      </c>
      <c r="C24">
        <f t="shared" ref="C24:G24" si="24">($M$13 - C22)*($M$2+3*$M$3)*($M$9)/(2*1000000)</f>
        <v>0.15735721609773629</v>
      </c>
      <c r="D24">
        <f t="shared" si="24"/>
        <v>0.15778124875346264</v>
      </c>
      <c r="E24">
        <f t="shared" si="24"/>
        <v>0.1576948781592403</v>
      </c>
      <c r="F24">
        <f t="shared" si="24"/>
        <v>0.15846630401347805</v>
      </c>
      <c r="G24">
        <f t="shared" si="24"/>
        <v>0.15865464551258487</v>
      </c>
    </row>
    <row r="25" spans="1:7">
      <c r="A25" t="s">
        <v>10</v>
      </c>
      <c r="B25">
        <v>2.4</v>
      </c>
      <c r="C25">
        <v>2.9</v>
      </c>
      <c r="D25">
        <v>3.32</v>
      </c>
      <c r="E25">
        <v>3.9</v>
      </c>
      <c r="F25">
        <v>4.3600000000000003</v>
      </c>
      <c r="G25">
        <v>4.99</v>
      </c>
    </row>
    <row r="26" spans="1:7">
      <c r="B26">
        <v>2.4300000000000002</v>
      </c>
      <c r="C26">
        <v>2.89</v>
      </c>
      <c r="D26">
        <v>3.23</v>
      </c>
      <c r="E26">
        <v>3.85</v>
      </c>
      <c r="F26">
        <v>4.43</v>
      </c>
      <c r="G26">
        <v>4.9400000000000004</v>
      </c>
    </row>
    <row r="27" spans="1:7">
      <c r="B27">
        <v>2.37</v>
      </c>
      <c r="C27">
        <v>2.91</v>
      </c>
      <c r="D27">
        <v>3.27</v>
      </c>
      <c r="E27">
        <v>3.82</v>
      </c>
      <c r="F27">
        <v>4.4400000000000004</v>
      </c>
      <c r="G27">
        <v>4.95</v>
      </c>
    </row>
    <row r="28" spans="1:7">
      <c r="A28" t="s">
        <v>11</v>
      </c>
      <c r="B28">
        <f xml:space="preserve"> (B25+B26+B27)/3</f>
        <v>2.4</v>
      </c>
      <c r="C28">
        <f t="shared" ref="C28:G28" si="25" xml:space="preserve"> (C25+C26+C27)/3</f>
        <v>2.9</v>
      </c>
      <c r="D28">
        <f t="shared" si="25"/>
        <v>3.2733333333333334</v>
      </c>
      <c r="E28">
        <f t="shared" si="25"/>
        <v>3.8566666666666669</v>
      </c>
      <c r="F28">
        <f t="shared" si="25"/>
        <v>4.41</v>
      </c>
      <c r="G28">
        <f t="shared" si="25"/>
        <v>4.96</v>
      </c>
    </row>
    <row r="29" spans="1:7">
      <c r="A29" t="s">
        <v>25</v>
      </c>
      <c r="B29">
        <f xml:space="preserve"> 2*($M$5/1000)/(B28*B28)</f>
        <v>0.24305555555555555</v>
      </c>
      <c r="C29">
        <f t="shared" ref="C29" si="26" xml:space="preserve"> 2*($M$5/1000)/(C28*C28)</f>
        <v>0.16646848989298452</v>
      </c>
      <c r="D29">
        <f t="shared" ref="D29" si="27" xml:space="preserve"> 2*($M$5/1000)/(D28*D28)</f>
        <v>0.13066147892202207</v>
      </c>
      <c r="E29">
        <f t="shared" ref="E29" si="28" xml:space="preserve"> 2*($M$5/1000)/(E28*E28)</f>
        <v>9.4124748160272012E-2</v>
      </c>
      <c r="F29">
        <f t="shared" ref="F29" si="29" xml:space="preserve"> 2*($M$5/1000)/(F28*F28)</f>
        <v>7.1986466544289668E-2</v>
      </c>
      <c r="G29">
        <f t="shared" ref="G29" si="30" xml:space="preserve"> 2*($M$5/1000)/(G28*G28)</f>
        <v>5.6906867845993747E-2</v>
      </c>
    </row>
    <row r="30" spans="1:7">
      <c r="A30" t="s">
        <v>26</v>
      </c>
      <c r="B30">
        <f>2*B29/($M$9/1000)</f>
        <v>10.567632850241546</v>
      </c>
      <c r="C30">
        <f t="shared" ref="C30" si="31">2*C29/($M$9/1000)</f>
        <v>7.2377604301297618</v>
      </c>
      <c r="D30">
        <f t="shared" ref="D30" si="32">2*D29/($M$9/1000)</f>
        <v>5.6809338661748727</v>
      </c>
      <c r="E30">
        <f t="shared" ref="E30" si="33">2*E29/($M$9/1000)</f>
        <v>4.0923803547944351</v>
      </c>
      <c r="F30">
        <f t="shared" ref="F30" si="34">2*F29/($M$9/1000)</f>
        <v>3.1298463714908551</v>
      </c>
      <c r="G30">
        <f t="shared" ref="G30" si="35">2*G29/($M$9/1000)</f>
        <v>2.4742116454779892</v>
      </c>
    </row>
    <row r="31" spans="1:7">
      <c r="A31" t="s">
        <v>27</v>
      </c>
      <c r="B31">
        <f>($M$13 - B29)*($M$2+4*$M$3)*($M$9)/(2*1000000)</f>
        <v>0.20376361250000002</v>
      </c>
      <c r="C31">
        <f t="shared" ref="C31:G31" si="36">($M$13 - C29)*($M$2+4*$M$3)*($M$9)/(2*1000000)</f>
        <v>0.20539652532699168</v>
      </c>
      <c r="D31">
        <f t="shared" si="36"/>
        <v>0.20615996660790359</v>
      </c>
      <c r="E31">
        <f t="shared" si="36"/>
        <v>0.20693896624447483</v>
      </c>
      <c r="F31">
        <f t="shared" si="36"/>
        <v>0.20741097654680921</v>
      </c>
      <c r="G31">
        <f t="shared" si="36"/>
        <v>0.20773248867065558</v>
      </c>
    </row>
    <row r="34" spans="1:7">
      <c r="A34" t="s">
        <v>31</v>
      </c>
      <c r="B34">
        <f xml:space="preserve"> B30+B23+B16+B9</f>
        <v>26.54344661860285</v>
      </c>
      <c r="C34">
        <f t="shared" ref="C34:G34" si="37" xml:space="preserve"> C30+C23+C16+C9</f>
        <v>18.273003894077505</v>
      </c>
      <c r="D34">
        <f t="shared" si="37"/>
        <v>14.171782773074387</v>
      </c>
      <c r="E34">
        <f t="shared" si="37"/>
        <v>11.735469156082548</v>
      </c>
      <c r="F34">
        <f t="shared" si="37"/>
        <v>7.8691544066281871</v>
      </c>
      <c r="G34">
        <f t="shared" si="37"/>
        <v>6.2528118648313802</v>
      </c>
    </row>
    <row r="35" spans="1:7">
      <c r="A35" t="s">
        <v>32</v>
      </c>
      <c r="B35">
        <f xml:space="preserve"> (B30*B30) + (B23*B23)+(B16*B16)+(B9*B9)</f>
        <v>210.57061228375915</v>
      </c>
      <c r="C35">
        <f t="shared" ref="C35:G35" si="38" xml:space="preserve"> (C30*C30) + (C23*C23)+(C16*C16)+(C9*C9)</f>
        <v>98.692124587527232</v>
      </c>
      <c r="D35">
        <f t="shared" si="38"/>
        <v>60.261721736982786</v>
      </c>
      <c r="E35">
        <f t="shared" si="38"/>
        <v>42.120356899714523</v>
      </c>
      <c r="F35">
        <f t="shared" si="38"/>
        <v>18.503197781712831</v>
      </c>
      <c r="G35">
        <f t="shared" si="38"/>
        <v>11.638732479096415</v>
      </c>
    </row>
    <row r="36" spans="1:7">
      <c r="A36" t="s">
        <v>33</v>
      </c>
      <c r="B36">
        <f>B34*B34</f>
        <v>704.55455839461911</v>
      </c>
      <c r="C36">
        <f t="shared" ref="C36:G36" si="39">C34*C34</f>
        <v>333.90267131297162</v>
      </c>
      <c r="D36">
        <f t="shared" si="39"/>
        <v>200.83942696720797</v>
      </c>
      <c r="E36">
        <f t="shared" si="39"/>
        <v>137.72123631336484</v>
      </c>
      <c r="F36">
        <f t="shared" si="39"/>
        <v>61.923591075355816</v>
      </c>
      <c r="G36">
        <f t="shared" si="39"/>
        <v>39.097656216976084</v>
      </c>
    </row>
    <row r="37" spans="1:7">
      <c r="A37" t="s">
        <v>34</v>
      </c>
      <c r="B37">
        <f>B31+B24+B17+B10</f>
        <v>0.52834676525421242</v>
      </c>
      <c r="C37">
        <f t="shared" ref="C37:G37" si="40">C31+C24+C17+C10</f>
        <v>0.53146961796146219</v>
      </c>
      <c r="D37">
        <f t="shared" si="40"/>
        <v>0.53295463225746054</v>
      </c>
      <c r="E37">
        <f t="shared" si="40"/>
        <v>0.53389007966097812</v>
      </c>
      <c r="F37">
        <f t="shared" si="40"/>
        <v>0.53531786723939367</v>
      </c>
      <c r="G37">
        <f t="shared" si="40"/>
        <v>0.53592517998166256</v>
      </c>
    </row>
    <row r="38" spans="1:7">
      <c r="A38" t="s">
        <v>35</v>
      </c>
      <c r="B38">
        <f>(B31*B30)+(B24*B23)+(B17*B16)+(B10*B9)</f>
        <v>4.1349883338471436</v>
      </c>
      <c r="C38">
        <f t="shared" ref="C38:G38" si="41">(C31*C30)+(C24*C23)+(C17*C16)+(C10*C9)</f>
        <v>2.850750694408628</v>
      </c>
      <c r="D38">
        <f t="shared" si="41"/>
        <v>2.2336272305885618</v>
      </c>
      <c r="E38">
        <f t="shared" si="41"/>
        <v>1.8430119741816329</v>
      </c>
      <c r="F38">
        <f t="shared" si="41"/>
        <v>1.2439299235247168</v>
      </c>
      <c r="G38">
        <f t="shared" si="41"/>
        <v>0.98800551678649395</v>
      </c>
    </row>
    <row r="39" spans="1:7">
      <c r="A39" t="s">
        <v>37</v>
      </c>
      <c r="B39">
        <f>(4*B38 - (B34*B37))/(4*B35 - B36)</f>
        <v>1.8266519310119727E-2</v>
      </c>
      <c r="C39">
        <f t="shared" ref="C39:G39" si="42">(4*C38 - (C34*C37))/(4*C35 - C36)</f>
        <v>2.7789918602581162E-2</v>
      </c>
      <c r="D39">
        <f t="shared" si="42"/>
        <v>3.4361574860987364E-2</v>
      </c>
      <c r="E39">
        <f t="shared" si="42"/>
        <v>3.5974982205281295E-2</v>
      </c>
      <c r="F39">
        <f t="shared" si="42"/>
        <v>6.3132443578909417E-2</v>
      </c>
      <c r="G39">
        <f t="shared" si="42"/>
        <v>8.0590141561027256E-2</v>
      </c>
    </row>
    <row r="40" spans="1:7">
      <c r="A40" t="s">
        <v>36</v>
      </c>
      <c r="B40">
        <f>(B35*B37 - B34*B38)/(4*B35 - B36)</f>
        <v>1.0872596259592898E-2</v>
      </c>
      <c r="C40">
        <f t="shared" ref="C40:G40" si="43">(C35*C37 - C34*C38)/(4*C35 - C36)</f>
        <v>5.9160817800998295E-3</v>
      </c>
      <c r="D40">
        <f t="shared" si="43"/>
        <v>1.1497464396703457E-2</v>
      </c>
      <c r="E40">
        <f t="shared" si="43"/>
        <v>2.7926696400070294E-2</v>
      </c>
      <c r="F40">
        <f t="shared" si="43"/>
        <v>9.6297301623033144E-3</v>
      </c>
      <c r="G40">
        <f t="shared" si="43"/>
        <v>8.0025466601077629E-3</v>
      </c>
    </row>
    <row r="41" spans="1:7">
      <c r="A41" t="s">
        <v>38</v>
      </c>
      <c r="B41">
        <f xml:space="preserve"> ($M$7/1000)+($M$11/2000)</f>
        <v>7.6999999999999999E-2</v>
      </c>
      <c r="C41">
        <f xml:space="preserve"> ($M$7/1000)+($M$11/2000) + ($M$8/1000)</f>
        <v>0.10200000000000001</v>
      </c>
      <c r="D41">
        <f xml:space="preserve"> ($M$7/1000)+($M$11/2000) + 2*($M$8/1000)</f>
        <v>0.127</v>
      </c>
      <c r="E41">
        <f xml:space="preserve"> ($M$7/1000)+($M$11/2000) + 3*($M$8/1000)</f>
        <v>0.15200000000000002</v>
      </c>
      <c r="F41">
        <f xml:space="preserve"> ($M$7/1000)+($M$11/2000) + 4*($M$8/1000)</f>
        <v>0.17699999999999999</v>
      </c>
      <c r="G41">
        <f xml:space="preserve"> ($M$7/1000)+($M$11/2000) +5* ($M$8/1000)</f>
        <v>0.20200000000000001</v>
      </c>
    </row>
    <row r="42" spans="1:7">
      <c r="A42" t="s">
        <v>39</v>
      </c>
      <c r="B42">
        <f>B41*B41</f>
        <v>5.9290000000000002E-3</v>
      </c>
      <c r="C42">
        <f t="shared" ref="C42:G42" si="44">C41*C41</f>
        <v>1.0404000000000002E-2</v>
      </c>
      <c r="D42">
        <f t="shared" si="44"/>
        <v>1.6129000000000001E-2</v>
      </c>
      <c r="E42">
        <f t="shared" si="44"/>
        <v>2.3104000000000006E-2</v>
      </c>
      <c r="F42">
        <f t="shared" si="44"/>
        <v>3.1328999999999996E-2</v>
      </c>
      <c r="G42">
        <f t="shared" si="44"/>
        <v>4.0804000000000007E-2</v>
      </c>
    </row>
    <row r="51" spans="1:7">
      <c r="A51" t="s">
        <v>40</v>
      </c>
      <c r="B51">
        <f>(SUM(B42:G42))/6</f>
        <v>2.1283166666666669E-2</v>
      </c>
    </row>
    <row r="52" spans="1:7">
      <c r="A52" t="s">
        <v>41</v>
      </c>
      <c r="B52">
        <f>(SUM(B39:G39))/6</f>
        <v>4.335259668648437E-2</v>
      </c>
    </row>
    <row r="53" spans="1:7">
      <c r="A53" t="s">
        <v>42</v>
      </c>
      <c r="B53">
        <f>B42-$B$51</f>
        <v>-1.5354166666666669E-2</v>
      </c>
      <c r="C53">
        <f t="shared" ref="C53:G53" si="45">C42-$B$51</f>
        <v>-1.0879166666666667E-2</v>
      </c>
      <c r="D53">
        <f t="shared" si="45"/>
        <v>-5.154166666666668E-3</v>
      </c>
      <c r="E53">
        <f t="shared" si="45"/>
        <v>1.8208333333333375E-3</v>
      </c>
      <c r="F53">
        <f t="shared" si="45"/>
        <v>1.0045833333333327E-2</v>
      </c>
      <c r="G53">
        <f t="shared" si="45"/>
        <v>1.9520833333333338E-2</v>
      </c>
    </row>
    <row r="54" spans="1:7">
      <c r="A54" t="s">
        <v>43</v>
      </c>
      <c r="B54">
        <f>B39-$B$52</f>
        <v>-2.5086077376364643E-2</v>
      </c>
      <c r="C54">
        <f t="shared" ref="C54:G54" si="46">C39-$B$52</f>
        <v>-1.5562678083903207E-2</v>
      </c>
      <c r="D54">
        <f t="shared" si="46"/>
        <v>-8.9910218254970059E-3</v>
      </c>
      <c r="E54">
        <f t="shared" si="46"/>
        <v>-7.377614481203075E-3</v>
      </c>
      <c r="F54">
        <f t="shared" si="46"/>
        <v>1.9779846892425047E-2</v>
      </c>
      <c r="G54">
        <f t="shared" si="46"/>
        <v>3.7237544874542887E-2</v>
      </c>
    </row>
    <row r="55" spans="1:7">
      <c r="A55" t="s">
        <v>44</v>
      </c>
      <c r="B55">
        <f>B53*B54+C53*C54+D53*D54+E53*E54+F53*F54+G53*G54</f>
        <v>1.5130055528070803E-3</v>
      </c>
    </row>
    <row r="56" spans="1:7">
      <c r="A56" t="s">
        <v>45</v>
      </c>
      <c r="B56">
        <f>B53*B53+C53*C53+D53*D53+E53*E53+F53*F53+G53*G53</f>
        <v>8.6596927083333348E-4</v>
      </c>
    </row>
    <row r="57" spans="1:7">
      <c r="A57" t="s">
        <v>50</v>
      </c>
      <c r="B57">
        <f>B55/B56</f>
        <v>1.7471815730263678</v>
      </c>
    </row>
    <row r="58" spans="1:7">
      <c r="A58" t="s">
        <v>49</v>
      </c>
      <c r="B58">
        <f>B52-B51*B57</f>
        <v>6.1670400708353432E-3</v>
      </c>
    </row>
    <row r="59" spans="1:7">
      <c r="A59" t="s">
        <v>46</v>
      </c>
      <c r="B59">
        <f>B39-($B$58+$B$57*B42)</f>
        <v>1.740439692811048E-3</v>
      </c>
      <c r="C59">
        <f t="shared" ref="C59:G59" si="47">C39-($B$58+$B$57*C42)</f>
        <v>3.4452014459794844E-3</v>
      </c>
      <c r="D59">
        <f t="shared" si="47"/>
        <v>1.4243198809736624E-5</v>
      </c>
      <c r="E59">
        <f t="shared" si="47"/>
        <v>-1.0558940928755263E-2</v>
      </c>
      <c r="F59">
        <f t="shared" si="47"/>
        <v>2.227952006731003E-3</v>
      </c>
      <c r="G59">
        <f t="shared" si="47"/>
        <v>3.1311045844239771E-3</v>
      </c>
    </row>
    <row r="60" spans="1:7">
      <c r="A60" t="s">
        <v>47</v>
      </c>
      <c r="B60">
        <f>B53*B53+C53*C53+D53*D53+E53*E53+F53*F53+G53*G53</f>
        <v>8.6596927083333348E-4</v>
      </c>
    </row>
    <row r="61" spans="1:7">
      <c r="A61" t="s">
        <v>51</v>
      </c>
      <c r="B61">
        <f>(B59*B59+C59*C59+D59*D59+E59*E59+F59*F59+G59*G59)/(B60*4)</f>
        <v>4.0751320673424858E-2</v>
      </c>
    </row>
    <row r="62" spans="1:7">
      <c r="A62" t="s">
        <v>52</v>
      </c>
      <c r="B62">
        <f>(1/6+(B51*B51)/B60)*((B59*B59+C59*C59+D59*D59+E59*E59+F59*F59+G59*G59)/4)</f>
        <v>2.4340820693120895E-5</v>
      </c>
    </row>
    <row r="63" spans="1:7">
      <c r="A63" t="s">
        <v>48</v>
      </c>
      <c r="B63">
        <f>SQRT(4*B62+4*B61)</f>
        <v>0.40385968600056127</v>
      </c>
    </row>
    <row r="73" spans="1:24">
      <c r="A73">
        <v>2.8030340040059358</v>
      </c>
      <c r="B73">
        <v>1.9690222173215448</v>
      </c>
      <c r="C73">
        <v>1.4030360452876875</v>
      </c>
      <c r="D73">
        <v>1.1016229704126801</v>
      </c>
      <c r="E73">
        <v>0.82364492123578414</v>
      </c>
      <c r="F73">
        <v>0.64915803301509556</v>
      </c>
      <c r="G73">
        <v>5.1239116364358583</v>
      </c>
      <c r="H73">
        <v>3.7171093350539808</v>
      </c>
      <c r="I73">
        <v>2.8724690099919288</v>
      </c>
      <c r="J73">
        <v>2.0951864139732166</v>
      </c>
      <c r="K73">
        <v>1.5320031258213618</v>
      </c>
      <c r="L73">
        <v>1.2493650548310629</v>
      </c>
      <c r="M73">
        <v>8.0488681279195102</v>
      </c>
      <c r="N73">
        <v>5.3491119115722183</v>
      </c>
      <c r="O73">
        <v>4.2153438516198971</v>
      </c>
      <c r="P73">
        <v>4.4462794169022146</v>
      </c>
      <c r="Q73">
        <v>2.3836599880801863</v>
      </c>
      <c r="R73">
        <v>1.8800771315072322</v>
      </c>
      <c r="S73">
        <v>10.567632850241546</v>
      </c>
      <c r="T73">
        <v>7.2377604301297618</v>
      </c>
      <c r="U73">
        <v>5.6809338661748727</v>
      </c>
      <c r="V73">
        <v>4.0923803547944351</v>
      </c>
      <c r="W73">
        <v>3.1298463714908551</v>
      </c>
      <c r="X73">
        <v>2.4742116454779892</v>
      </c>
    </row>
    <row r="74" spans="1:24">
      <c r="A74">
        <v>5.9785891068172198E-2</v>
      </c>
      <c r="B74">
        <v>5.990368939495886E-2</v>
      </c>
      <c r="C74">
        <v>5.9983630979855429E-2</v>
      </c>
      <c r="D74">
        <v>6.002620346679001E-2</v>
      </c>
      <c r="E74">
        <v>6.0065465920389902E-2</v>
      </c>
      <c r="F74">
        <v>6.0090110971942855E-2</v>
      </c>
      <c r="G74">
        <v>0.1084497625124865</v>
      </c>
      <c r="H74">
        <v>0.1088121871417754</v>
      </c>
      <c r="I74">
        <v>0.10902978591623887</v>
      </c>
      <c r="J74">
        <v>0.10923003179047298</v>
      </c>
      <c r="K74">
        <v>0.10937512075871653</v>
      </c>
      <c r="L74">
        <v>0.10944793482647927</v>
      </c>
      <c r="M74">
        <v>0.15634749917355373</v>
      </c>
      <c r="N74">
        <v>0.15735721609773629</v>
      </c>
      <c r="O74">
        <v>0.15778124875346264</v>
      </c>
      <c r="P74">
        <v>0.1576948781592403</v>
      </c>
      <c r="Q74">
        <v>0.15846630401347805</v>
      </c>
      <c r="R74">
        <v>0.15865464551258487</v>
      </c>
      <c r="S74">
        <v>0.20376361250000002</v>
      </c>
      <c r="T74">
        <v>0.20539652532699168</v>
      </c>
      <c r="U74">
        <v>0.20615996660790359</v>
      </c>
      <c r="V74">
        <v>0.20693896624447483</v>
      </c>
      <c r="W74">
        <v>0.20741097654680921</v>
      </c>
      <c r="X74">
        <v>0.20773248867065558</v>
      </c>
    </row>
    <row r="75" spans="1:24">
      <c r="E75" t="s">
        <v>56</v>
      </c>
      <c r="F75" t="s">
        <v>37</v>
      </c>
      <c r="G75" t="s">
        <v>57</v>
      </c>
      <c r="J75" t="s">
        <v>39</v>
      </c>
      <c r="K75" t="s">
        <v>37</v>
      </c>
      <c r="L75" t="s">
        <v>58</v>
      </c>
    </row>
    <row r="76" spans="1:24">
      <c r="A76">
        <v>2.8030340040059358</v>
      </c>
      <c r="B76">
        <v>5.9785891068172198E-2</v>
      </c>
      <c r="C76">
        <v>1.3740787414704716</v>
      </c>
      <c r="D76">
        <v>8.7299999999999999E-3</v>
      </c>
      <c r="E76">
        <v>1.0872596259592898E-2</v>
      </c>
      <c r="F76">
        <v>1.8266519310119727E-2</v>
      </c>
      <c r="G76">
        <f>E76+F76*A76</f>
        <v>6.2074271020689534E-2</v>
      </c>
      <c r="J76">
        <v>5.9290000000000002E-3</v>
      </c>
      <c r="K76">
        <v>1.8266519310119727E-2</v>
      </c>
      <c r="L76">
        <f>$B$58+$B$57*J76</f>
        <v>1.6526079617308679E-2</v>
      </c>
    </row>
    <row r="77" spans="1:24">
      <c r="A77">
        <v>1.9690222173215448</v>
      </c>
      <c r="B77">
        <v>5.990368939495886E-2</v>
      </c>
      <c r="C77">
        <v>0</v>
      </c>
      <c r="D77">
        <v>0</v>
      </c>
      <c r="E77">
        <v>5.9160817800998295E-3</v>
      </c>
      <c r="F77">
        <v>2.7789918602581162E-2</v>
      </c>
      <c r="G77">
        <f t="shared" ref="G77:G99" si="48">E77+F77*A77</f>
        <v>6.0635048926139433E-2</v>
      </c>
      <c r="J77">
        <v>1.0404000000000002E-2</v>
      </c>
      <c r="K77">
        <v>2.7789918602581162E-2</v>
      </c>
      <c r="L77">
        <f t="shared" ref="L77:L81" si="49">$B$58+$B$57*J77</f>
        <v>2.4344717156601678E-2</v>
      </c>
    </row>
    <row r="78" spans="1:24">
      <c r="A78">
        <v>1.4030360452876875</v>
      </c>
      <c r="B78">
        <v>5.9983630979855429E-2</v>
      </c>
      <c r="C78">
        <v>0</v>
      </c>
      <c r="D78">
        <v>0</v>
      </c>
      <c r="E78">
        <v>1.1497464396703457E-2</v>
      </c>
      <c r="F78">
        <v>3.4361574860987364E-2</v>
      </c>
      <c r="G78">
        <f t="shared" si="48"/>
        <v>5.9707992499519996E-2</v>
      </c>
      <c r="J78">
        <v>1.6129000000000001E-2</v>
      </c>
      <c r="K78">
        <v>3.4361574860987364E-2</v>
      </c>
      <c r="L78">
        <f t="shared" si="49"/>
        <v>3.4347331662177627E-2</v>
      </c>
    </row>
    <row r="79" spans="1:24">
      <c r="A79">
        <v>1.1016229704126801</v>
      </c>
      <c r="B79">
        <v>6.002620346679001E-2</v>
      </c>
      <c r="C79">
        <v>0</v>
      </c>
      <c r="D79">
        <v>0</v>
      </c>
      <c r="E79">
        <v>2.7926696400070294E-2</v>
      </c>
      <c r="F79">
        <v>3.5974982205281295E-2</v>
      </c>
      <c r="G79">
        <f t="shared" si="48"/>
        <v>6.7557563157595577E-2</v>
      </c>
      <c r="J79">
        <v>2.3104000000000006E-2</v>
      </c>
      <c r="K79">
        <v>3.5974982205281295E-2</v>
      </c>
      <c r="L79">
        <f t="shared" si="49"/>
        <v>4.6533923134036558E-2</v>
      </c>
    </row>
    <row r="80" spans="1:24">
      <c r="A80">
        <v>0.82364492123578414</v>
      </c>
      <c r="B80">
        <v>6.0065465920389902E-2</v>
      </c>
      <c r="C80">
        <v>0</v>
      </c>
      <c r="D80">
        <v>0</v>
      </c>
      <c r="E80">
        <v>9.6297301623033144E-3</v>
      </c>
      <c r="F80">
        <v>6.3132443578909417E-2</v>
      </c>
      <c r="G80">
        <f t="shared" si="48"/>
        <v>6.1628446681276747E-2</v>
      </c>
      <c r="J80">
        <v>3.1328999999999996E-2</v>
      </c>
      <c r="K80">
        <v>6.3132443578909417E-2</v>
      </c>
      <c r="L80">
        <f t="shared" si="49"/>
        <v>6.0904491572178414E-2</v>
      </c>
    </row>
    <row r="81" spans="1:12">
      <c r="A81">
        <v>0.64915803301509556</v>
      </c>
      <c r="B81">
        <v>6.0090110971942855E-2</v>
      </c>
      <c r="C81">
        <v>0</v>
      </c>
      <c r="D81">
        <v>0</v>
      </c>
      <c r="E81">
        <v>8.0025466601077629E-3</v>
      </c>
      <c r="F81">
        <v>8.0590141561027256E-2</v>
      </c>
      <c r="G81">
        <f t="shared" si="48"/>
        <v>6.0318284436272324E-2</v>
      </c>
      <c r="J81">
        <v>4.0804000000000007E-2</v>
      </c>
      <c r="K81">
        <v>8.0590141561027256E-2</v>
      </c>
      <c r="L81">
        <f t="shared" si="49"/>
        <v>7.7459036976603279E-2</v>
      </c>
    </row>
    <row r="82" spans="1:12">
      <c r="A82">
        <v>5.1239116364358583</v>
      </c>
      <c r="B82">
        <v>0.1084497625124865</v>
      </c>
      <c r="C82">
        <v>0</v>
      </c>
      <c r="D82">
        <v>0</v>
      </c>
      <c r="E82">
        <v>1.0872596259592898E-2</v>
      </c>
      <c r="F82">
        <v>1.8266519310119727E-2</v>
      </c>
      <c r="G82">
        <f t="shared" si="48"/>
        <v>0.10446862710989567</v>
      </c>
    </row>
    <row r="83" spans="1:12">
      <c r="A83">
        <v>3.7171093350539808</v>
      </c>
      <c r="B83">
        <v>0.1088121871417754</v>
      </c>
      <c r="C83">
        <v>0</v>
      </c>
      <c r="D83">
        <v>0</v>
      </c>
      <c r="E83">
        <v>5.9160817800998295E-3</v>
      </c>
      <c r="F83">
        <v>2.7789918602581162E-2</v>
      </c>
      <c r="G83">
        <f t="shared" si="48"/>
        <v>0.10921424763814455</v>
      </c>
    </row>
    <row r="84" spans="1:12">
      <c r="A84">
        <v>2.8724690099919288</v>
      </c>
      <c r="B84">
        <v>0.10902978591623887</v>
      </c>
      <c r="C84">
        <v>0</v>
      </c>
      <c r="D84">
        <v>0</v>
      </c>
      <c r="E84">
        <v>1.1497464396703457E-2</v>
      </c>
      <c r="F84">
        <v>3.4361574860987364E-2</v>
      </c>
      <c r="G84">
        <f t="shared" si="48"/>
        <v>0.11020002331940738</v>
      </c>
    </row>
    <row r="85" spans="1:12">
      <c r="A85">
        <v>2.0951864139732166</v>
      </c>
      <c r="B85">
        <v>0.10923003179047298</v>
      </c>
      <c r="C85">
        <v>0</v>
      </c>
      <c r="D85">
        <v>0</v>
      </c>
      <c r="E85">
        <v>2.7926696400070294E-2</v>
      </c>
      <c r="F85">
        <v>3.5974982205281295E-2</v>
      </c>
      <c r="G85">
        <f t="shared" si="48"/>
        <v>0.10330099035950389</v>
      </c>
    </row>
    <row r="86" spans="1:12">
      <c r="A86">
        <v>1.5320031258213618</v>
      </c>
      <c r="B86">
        <v>0.10937512075871653</v>
      </c>
      <c r="C86">
        <v>0</v>
      </c>
      <c r="D86">
        <v>0</v>
      </c>
      <c r="E86">
        <v>9.6297301623033144E-3</v>
      </c>
      <c r="F86">
        <v>6.3132443578909417E-2</v>
      </c>
      <c r="G86">
        <f t="shared" si="48"/>
        <v>0.10634883106593331</v>
      </c>
    </row>
    <row r="87" spans="1:12">
      <c r="A87">
        <v>1.2493650548310629</v>
      </c>
      <c r="B87">
        <v>0.10944793482647927</v>
      </c>
      <c r="C87">
        <v>0</v>
      </c>
      <c r="D87">
        <v>0</v>
      </c>
      <c r="E87">
        <v>8.0025466601077629E-3</v>
      </c>
      <c r="F87">
        <v>8.0590141561027256E-2</v>
      </c>
      <c r="G87">
        <f t="shared" si="48"/>
        <v>0.1086890532903437</v>
      </c>
    </row>
    <row r="88" spans="1:12">
      <c r="A88">
        <v>8.0488681279195102</v>
      </c>
      <c r="B88">
        <v>0.15634749917355373</v>
      </c>
      <c r="C88">
        <v>0</v>
      </c>
      <c r="D88">
        <v>0</v>
      </c>
      <c r="E88">
        <v>1.0872596259592898E-2</v>
      </c>
      <c r="F88">
        <v>1.8266519310119727E-2</v>
      </c>
      <c r="G88">
        <f t="shared" si="48"/>
        <v>0.15789740134284183</v>
      </c>
    </row>
    <row r="89" spans="1:12">
      <c r="A89">
        <v>5.3491119115722183</v>
      </c>
      <c r="B89">
        <v>0.15735721609773629</v>
      </c>
      <c r="C89">
        <v>0</v>
      </c>
      <c r="D89">
        <v>0</v>
      </c>
      <c r="E89">
        <v>5.9160817800998295E-3</v>
      </c>
      <c r="F89">
        <v>2.7789918602581162E-2</v>
      </c>
      <c r="G89">
        <f t="shared" si="48"/>
        <v>0.1545674663987891</v>
      </c>
    </row>
    <row r="90" spans="1:12">
      <c r="A90">
        <v>4.2153438516198971</v>
      </c>
      <c r="B90">
        <v>0.15778124875346264</v>
      </c>
      <c r="C90">
        <v>0</v>
      </c>
      <c r="D90">
        <v>0</v>
      </c>
      <c r="E90">
        <v>1.1497464396703457E-2</v>
      </c>
      <c r="F90">
        <v>3.4361574860987364E-2</v>
      </c>
      <c r="G90">
        <f t="shared" si="48"/>
        <v>0.15634331771894336</v>
      </c>
    </row>
    <row r="91" spans="1:12">
      <c r="A91">
        <v>4.4462794169022146</v>
      </c>
      <c r="B91">
        <v>0.1576948781592403</v>
      </c>
      <c r="C91">
        <v>0</v>
      </c>
      <c r="D91">
        <v>0</v>
      </c>
      <c r="E91">
        <v>2.7926696400070294E-2</v>
      </c>
      <c r="F91">
        <v>3.5974982205281295E-2</v>
      </c>
      <c r="G91">
        <f t="shared" si="48"/>
        <v>0.18788151930283595</v>
      </c>
    </row>
    <row r="92" spans="1:12">
      <c r="A92">
        <v>2.3836599880801863</v>
      </c>
      <c r="B92">
        <v>0.15846630401347805</v>
      </c>
      <c r="C92">
        <v>0</v>
      </c>
      <c r="D92">
        <v>0</v>
      </c>
      <c r="E92">
        <v>9.6297301623033144E-3</v>
      </c>
      <c r="F92">
        <v>6.3132443578909417E-2</v>
      </c>
      <c r="G92">
        <f t="shared" si="48"/>
        <v>0.16011600987107957</v>
      </c>
    </row>
    <row r="93" spans="1:12">
      <c r="A93">
        <v>1.8800771315072322</v>
      </c>
      <c r="B93">
        <v>0.15865464551258487</v>
      </c>
      <c r="C93">
        <v>0</v>
      </c>
      <c r="D93">
        <v>0</v>
      </c>
      <c r="E93">
        <v>8.0025466601077629E-3</v>
      </c>
      <c r="F93">
        <v>8.0590141561027256E-2</v>
      </c>
      <c r="G93">
        <f t="shared" si="48"/>
        <v>0.15951822883392566</v>
      </c>
    </row>
    <row r="94" spans="1:12">
      <c r="A94">
        <v>10.567632850241546</v>
      </c>
      <c r="B94">
        <v>0.20376361250000002</v>
      </c>
      <c r="C94">
        <v>0</v>
      </c>
      <c r="D94">
        <v>0</v>
      </c>
      <c r="E94">
        <v>1.0872596259592898E-2</v>
      </c>
      <c r="F94">
        <v>1.8266519310119727E-2</v>
      </c>
      <c r="G94">
        <f t="shared" si="48"/>
        <v>0.20390646578078567</v>
      </c>
    </row>
    <row r="95" spans="1:12">
      <c r="A95">
        <v>7.2377604301297618</v>
      </c>
      <c r="B95">
        <v>0.20539652532699168</v>
      </c>
      <c r="C95">
        <v>0</v>
      </c>
      <c r="D95">
        <v>0</v>
      </c>
      <c r="E95">
        <v>5.9160817800998295E-3</v>
      </c>
      <c r="F95">
        <v>2.7789918602581162E-2</v>
      </c>
      <c r="G95">
        <f t="shared" si="48"/>
        <v>0.20705285499838874</v>
      </c>
    </row>
    <row r="96" spans="1:12">
      <c r="A96">
        <v>5.6809338661748727</v>
      </c>
      <c r="B96">
        <v>0.20615996660790359</v>
      </c>
      <c r="C96">
        <v>0</v>
      </c>
      <c r="D96">
        <v>0</v>
      </c>
      <c r="E96">
        <v>1.1497464396703457E-2</v>
      </c>
      <c r="F96">
        <v>3.4361574860987364E-2</v>
      </c>
      <c r="G96">
        <f t="shared" si="48"/>
        <v>0.20670329871958973</v>
      </c>
    </row>
    <row r="97" spans="1:7">
      <c r="A97">
        <v>4.0923803547944351</v>
      </c>
      <c r="B97">
        <v>0.20693896624447483</v>
      </c>
      <c r="C97">
        <v>0</v>
      </c>
      <c r="D97">
        <v>0</v>
      </c>
      <c r="E97">
        <v>2.7926696400070294E-2</v>
      </c>
      <c r="F97">
        <v>3.5974982205281295E-2</v>
      </c>
      <c r="G97">
        <f t="shared" si="48"/>
        <v>0.17515000684104284</v>
      </c>
    </row>
    <row r="98" spans="1:7">
      <c r="A98">
        <v>3.1298463714908551</v>
      </c>
      <c r="B98">
        <v>0.20741097654680921</v>
      </c>
      <c r="C98">
        <v>0</v>
      </c>
      <c r="D98">
        <v>0</v>
      </c>
      <c r="E98">
        <v>9.6297301623033144E-3</v>
      </c>
      <c r="F98">
        <v>6.3132443578909417E-2</v>
      </c>
      <c r="G98">
        <f t="shared" si="48"/>
        <v>0.20722457962110408</v>
      </c>
    </row>
    <row r="99" spans="1:7">
      <c r="A99">
        <v>2.4742116454779892</v>
      </c>
      <c r="B99">
        <v>0.20773248867065558</v>
      </c>
      <c r="C99">
        <v>0</v>
      </c>
      <c r="D99">
        <v>0</v>
      </c>
      <c r="E99">
        <v>8.0025466601077629E-3</v>
      </c>
      <c r="F99">
        <v>8.0590141561027256E-2</v>
      </c>
      <c r="G99">
        <f t="shared" si="48"/>
        <v>0.20739961342112112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1289736</dc:creator>
  <cp:lastModifiedBy>Svetlana Zolotareva</cp:lastModifiedBy>
  <dcterms:created xsi:type="dcterms:W3CDTF">2022-03-25T09:46:23Z</dcterms:created>
  <dcterms:modified xsi:type="dcterms:W3CDTF">2022-04-03T20:55:39Z</dcterms:modified>
</cp:coreProperties>
</file>