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rah\Downloads\Thesis notebooks en data\Residential_demand\Residential_demand\"/>
    </mc:Choice>
  </mc:AlternateContent>
  <xr:revisionPtr revIDLastSave="0" documentId="13_ncr:1_{DF36A60A-81E0-4B10-B26C-457D205EA2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ypos" sheetId="20" r:id="rId1"/>
    <sheet name="Statistics" sheetId="22" r:id="rId2"/>
    <sheet name="Blad1" sheetId="23" r:id="rId3"/>
    <sheet name="Comparison with other models" sheetId="2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3" l="1"/>
  <c r="J33" i="23"/>
  <c r="J35" i="23"/>
  <c r="J22" i="23"/>
  <c r="J23" i="23"/>
  <c r="G16" i="23"/>
  <c r="J16" i="23" s="1"/>
  <c r="H16" i="23"/>
  <c r="I16" i="23"/>
  <c r="G17" i="23"/>
  <c r="J17" i="23" s="1"/>
  <c r="H17" i="23"/>
  <c r="I17" i="23"/>
  <c r="G18" i="23"/>
  <c r="J18" i="23" s="1"/>
  <c r="H18" i="23"/>
  <c r="I18" i="23"/>
  <c r="G19" i="23"/>
  <c r="J19" i="23" s="1"/>
  <c r="H19" i="23"/>
  <c r="I19" i="23"/>
  <c r="G20" i="23"/>
  <c r="J20" i="23" s="1"/>
  <c r="H20" i="23"/>
  <c r="I20" i="23"/>
  <c r="G21" i="23"/>
  <c r="J21" i="23" s="1"/>
  <c r="H21" i="23"/>
  <c r="I21" i="23"/>
  <c r="H15" i="23"/>
  <c r="I15" i="23"/>
  <c r="G15" i="23"/>
  <c r="J15" i="23" s="1"/>
  <c r="I33" i="23"/>
  <c r="G28" i="23"/>
  <c r="J28" i="23" s="1"/>
  <c r="H28" i="23"/>
  <c r="I28" i="23"/>
  <c r="G29" i="23"/>
  <c r="J29" i="23" s="1"/>
  <c r="H29" i="23"/>
  <c r="I29" i="23"/>
  <c r="G30" i="23"/>
  <c r="J30" i="23" s="1"/>
  <c r="H30" i="23"/>
  <c r="I30" i="23"/>
  <c r="G31" i="23"/>
  <c r="J31" i="23" s="1"/>
  <c r="H31" i="23"/>
  <c r="I31" i="23"/>
  <c r="G32" i="23"/>
  <c r="J32" i="23" s="1"/>
  <c r="H32" i="23"/>
  <c r="I32" i="23"/>
  <c r="G33" i="23"/>
  <c r="H33" i="23"/>
  <c r="H27" i="23"/>
  <c r="I27" i="23"/>
  <c r="G27" i="23"/>
  <c r="J27" i="23" s="1"/>
  <c r="D34" i="23"/>
  <c r="C34" i="23"/>
  <c r="B34" i="23"/>
  <c r="I10" i="23"/>
  <c r="H10" i="23"/>
  <c r="G10" i="23"/>
  <c r="D22" i="23"/>
  <c r="C22" i="23"/>
  <c r="B22" i="23"/>
  <c r="D10" i="23"/>
  <c r="C10" i="23"/>
  <c r="B10" i="23"/>
  <c r="H41" i="22"/>
  <c r="E42" i="22"/>
  <c r="E46" i="22"/>
  <c r="A80" i="22"/>
  <c r="G15" i="22"/>
  <c r="E44" i="22"/>
  <c r="E45" i="22" s="1"/>
  <c r="G55" i="22"/>
  <c r="G64" i="22" s="1"/>
  <c r="J74" i="22" s="1"/>
  <c r="G54" i="22"/>
  <c r="G63" i="22" s="1"/>
  <c r="J73" i="22" s="1"/>
  <c r="G53" i="22"/>
  <c r="G62" i="22" s="1"/>
  <c r="J72" i="22" s="1"/>
  <c r="G52" i="22"/>
  <c r="G61" i="22" s="1"/>
  <c r="J71" i="22" s="1"/>
  <c r="G51" i="22"/>
  <c r="G60" i="22" s="1"/>
  <c r="J70" i="22" s="1"/>
  <c r="G49" i="22"/>
  <c r="G58" i="22" s="1"/>
  <c r="J68" i="22" s="1"/>
  <c r="G50" i="22"/>
  <c r="G59" i="22" s="1"/>
  <c r="J69" i="22" s="1"/>
  <c r="F55" i="22"/>
  <c r="F64" i="22" s="1"/>
  <c r="H74" i="22" s="1"/>
  <c r="I74" i="22" s="1"/>
  <c r="F54" i="22"/>
  <c r="F63" i="22" s="1"/>
  <c r="H73" i="22" s="1"/>
  <c r="I73" i="22" s="1"/>
  <c r="F53" i="22"/>
  <c r="F62" i="22" s="1"/>
  <c r="H72" i="22" s="1"/>
  <c r="I72" i="22" s="1"/>
  <c r="F52" i="22"/>
  <c r="F61" i="22" s="1"/>
  <c r="H71" i="22" s="1"/>
  <c r="I71" i="22" s="1"/>
  <c r="F51" i="22"/>
  <c r="F60" i="22" s="1"/>
  <c r="H70" i="22" s="1"/>
  <c r="I70" i="22" s="1"/>
  <c r="F49" i="22"/>
  <c r="F58" i="22" s="1"/>
  <c r="H68" i="22" s="1"/>
  <c r="I68" i="22" s="1"/>
  <c r="F50" i="22"/>
  <c r="F59" i="22" s="1"/>
  <c r="H69" i="22" s="1"/>
  <c r="I69" i="22" s="1"/>
  <c r="E55" i="22"/>
  <c r="E64" i="22" s="1"/>
  <c r="G74" i="22" s="1"/>
  <c r="E54" i="22"/>
  <c r="E63" i="22" s="1"/>
  <c r="G73" i="22" s="1"/>
  <c r="E53" i="22"/>
  <c r="E62" i="22" s="1"/>
  <c r="G72" i="22" s="1"/>
  <c r="E52" i="22"/>
  <c r="E61" i="22" s="1"/>
  <c r="G71" i="22" s="1"/>
  <c r="E51" i="22"/>
  <c r="E60" i="22" s="1"/>
  <c r="G70" i="22" s="1"/>
  <c r="E49" i="22"/>
  <c r="E58" i="22" s="1"/>
  <c r="G68" i="22" s="1"/>
  <c r="E50" i="22"/>
  <c r="E59" i="22" s="1"/>
  <c r="G69" i="22" s="1"/>
  <c r="D55" i="22"/>
  <c r="D64" i="22" s="1"/>
  <c r="E74" i="22" s="1"/>
  <c r="F74" i="22" s="1"/>
  <c r="D54" i="22"/>
  <c r="D63" i="22" s="1"/>
  <c r="E73" i="22" s="1"/>
  <c r="F73" i="22" s="1"/>
  <c r="D53" i="22"/>
  <c r="D62" i="22" s="1"/>
  <c r="E72" i="22" s="1"/>
  <c r="F72" i="22" s="1"/>
  <c r="D52" i="22"/>
  <c r="D61" i="22" s="1"/>
  <c r="E71" i="22" s="1"/>
  <c r="F71" i="22" s="1"/>
  <c r="D51" i="22"/>
  <c r="D60" i="22" s="1"/>
  <c r="E70" i="22" s="1"/>
  <c r="F70" i="22" s="1"/>
  <c r="D49" i="22"/>
  <c r="D58" i="22" s="1"/>
  <c r="E68" i="22" s="1"/>
  <c r="F68" i="22" s="1"/>
  <c r="D50" i="22"/>
  <c r="D59" i="22" s="1"/>
  <c r="E69" i="22" s="1"/>
  <c r="F69" i="22" s="1"/>
  <c r="C49" i="22"/>
  <c r="C58" i="22" s="1"/>
  <c r="D68" i="22" s="1"/>
  <c r="C50" i="22"/>
  <c r="C59" i="22" s="1"/>
  <c r="D69" i="22" s="1"/>
  <c r="C55" i="22"/>
  <c r="C64" i="22" s="1"/>
  <c r="D74" i="22" s="1"/>
  <c r="C54" i="22"/>
  <c r="C63" i="22" s="1"/>
  <c r="D73" i="22" s="1"/>
  <c r="C53" i="22"/>
  <c r="C62" i="22" s="1"/>
  <c r="D72" i="22" s="1"/>
  <c r="C52" i="22"/>
  <c r="C61" i="22" s="1"/>
  <c r="D71" i="22" s="1"/>
  <c r="C51" i="22"/>
  <c r="C60" i="22" s="1"/>
  <c r="D70" i="22" s="1"/>
  <c r="B55" i="22"/>
  <c r="B64" i="22" s="1"/>
  <c r="B74" i="22" s="1"/>
  <c r="C74" i="22" s="1"/>
  <c r="B54" i="22"/>
  <c r="B63" i="22" s="1"/>
  <c r="B73" i="22" s="1"/>
  <c r="C73" i="22" s="1"/>
  <c r="B53" i="22"/>
  <c r="B62" i="22" s="1"/>
  <c r="B72" i="22" s="1"/>
  <c r="C72" i="22" s="1"/>
  <c r="B52" i="22"/>
  <c r="B61" i="22" s="1"/>
  <c r="B71" i="22" s="1"/>
  <c r="C71" i="22" s="1"/>
  <c r="B51" i="22"/>
  <c r="B60" i="22" s="1"/>
  <c r="B70" i="22" s="1"/>
  <c r="C70" i="22" s="1"/>
  <c r="B50" i="22"/>
  <c r="B59" i="22" s="1"/>
  <c r="B69" i="22" s="1"/>
  <c r="C69" i="22" s="1"/>
  <c r="B49" i="22"/>
  <c r="B58" i="22" s="1"/>
  <c r="B40" i="22"/>
  <c r="B39" i="22"/>
  <c r="B38" i="22"/>
  <c r="B37" i="22"/>
  <c r="E38" i="22" s="1"/>
  <c r="E39" i="22" s="1"/>
  <c r="C40" i="22"/>
  <c r="C39" i="22"/>
  <c r="C38" i="22"/>
  <c r="C36" i="22"/>
  <c r="B36" i="22"/>
  <c r="B35" i="22"/>
  <c r="C37" i="22"/>
  <c r="C28" i="22"/>
  <c r="B28" i="22"/>
  <c r="C27" i="22"/>
  <c r="B27" i="22"/>
  <c r="C26" i="22"/>
  <c r="B26" i="22"/>
  <c r="C25" i="22"/>
  <c r="B25" i="22"/>
  <c r="E25" i="22" s="1"/>
  <c r="E26" i="22" s="1"/>
  <c r="C24" i="22"/>
  <c r="B24" i="22"/>
  <c r="E21" i="22"/>
  <c r="E23" i="22" s="1"/>
  <c r="E22" i="22"/>
  <c r="C9" i="22"/>
  <c r="D9" i="22"/>
  <c r="B9" i="22"/>
  <c r="M5" i="22"/>
  <c r="M4" i="22"/>
  <c r="F6" i="22"/>
  <c r="N3" i="22"/>
  <c r="O3" i="22" s="1"/>
  <c r="BC34" i="20"/>
  <c r="BA34" i="20"/>
  <c r="F18" i="21"/>
  <c r="E18" i="21"/>
  <c r="BC28" i="20"/>
  <c r="D14" i="21"/>
  <c r="F14" i="21"/>
  <c r="E14" i="21"/>
  <c r="C14" i="21"/>
  <c r="BC40" i="20"/>
  <c r="BA40" i="20"/>
  <c r="BA28" i="20"/>
  <c r="BK22" i="20"/>
  <c r="BI22" i="20"/>
  <c r="BH22" i="20"/>
  <c r="BC22" i="20"/>
  <c r="BA22" i="20"/>
  <c r="BC16" i="20"/>
  <c r="BA16" i="20"/>
  <c r="BC10" i="20"/>
  <c r="BA10" i="20"/>
  <c r="BC4" i="20"/>
  <c r="BA4" i="20"/>
  <c r="D18" i="21"/>
  <c r="AM34" i="20"/>
  <c r="AK34" i="20"/>
  <c r="AJ34" i="20"/>
  <c r="AE34" i="20"/>
  <c r="AC34" i="20"/>
  <c r="AM22" i="20"/>
  <c r="AK22" i="20"/>
  <c r="AJ22" i="20"/>
  <c r="C18" i="21"/>
  <c r="AE40" i="20"/>
  <c r="AC40" i="20"/>
  <c r="AE28" i="20"/>
  <c r="AC28" i="20"/>
  <c r="AE22" i="20"/>
  <c r="AC22" i="20"/>
  <c r="AE16" i="20"/>
  <c r="AC16" i="20"/>
  <c r="AE10" i="20"/>
  <c r="AE4" i="20"/>
  <c r="AC10" i="20"/>
  <c r="AC4" i="20"/>
  <c r="O4" i="20"/>
  <c r="O10" i="20"/>
  <c r="O16" i="20"/>
  <c r="O22" i="20"/>
  <c r="O28" i="20"/>
  <c r="O34" i="20"/>
  <c r="O40" i="20"/>
  <c r="M10" i="20"/>
  <c r="M16" i="20"/>
  <c r="M22" i="20"/>
  <c r="M28" i="20"/>
  <c r="M34" i="20"/>
  <c r="M40" i="20"/>
  <c r="M4" i="20"/>
  <c r="H34" i="23" l="1"/>
  <c r="I22" i="23"/>
  <c r="H22" i="23"/>
  <c r="I34" i="23"/>
  <c r="G34" i="23"/>
  <c r="J34" i="23" s="1"/>
  <c r="B68" i="22"/>
  <c r="B65" i="22"/>
  <c r="E75" i="22"/>
  <c r="F75" i="22" s="1"/>
  <c r="H75" i="22"/>
  <c r="I75" i="22" s="1"/>
  <c r="E34" i="22"/>
  <c r="E33" i="22"/>
  <c r="E35" i="22" s="1"/>
  <c r="B75" i="22" l="1"/>
  <c r="C75" i="22" s="1"/>
  <c r="C68" i="22"/>
</calcChain>
</file>

<file path=xl/sharedStrings.xml><?xml version="1.0" encoding="utf-8"?>
<sst xmlns="http://schemas.openxmlformats.org/spreadsheetml/2006/main" count="979" uniqueCount="205">
  <si>
    <t>Appartment</t>
  </si>
  <si>
    <t>Semi-detached</t>
  </si>
  <si>
    <t>Terraced</t>
  </si>
  <si>
    <t>Current situation</t>
  </si>
  <si>
    <t>Retrofitted</t>
  </si>
  <si>
    <t>Construction period</t>
  </si>
  <si>
    <t>Building element</t>
  </si>
  <si>
    <t>Current</t>
  </si>
  <si>
    <t>Rc/U/I_rate</t>
  </si>
  <si>
    <t>LT-ready</t>
  </si>
  <si>
    <t>space heating [kWh/m2]</t>
  </si>
  <si>
    <t>cooling [kWh/m2]</t>
  </si>
  <si>
    <t>id</t>
  </si>
  <si>
    <t>RPiD</t>
  </si>
  <si>
    <t>Selected RP for LT</t>
  </si>
  <si>
    <t>Space heating savings [%]</t>
  </si>
  <si>
    <t>LT space heating [kWh/m2]</t>
  </si>
  <si>
    <t>Space cooling savings [%]</t>
  </si>
  <si>
    <t>LT cooling [kWh/m2]</t>
  </si>
  <si>
    <t>&lt;1946 protected</t>
  </si>
  <si>
    <t>Windows</t>
  </si>
  <si>
    <t>single glazing</t>
  </si>
  <si>
    <t>5.20</t>
  </si>
  <si>
    <t>NOT LT-ready</t>
  </si>
  <si>
    <t>A</t>
  </si>
  <si>
    <t>vacuum_glas</t>
  </si>
  <si>
    <t>5.21</t>
  </si>
  <si>
    <t>F</t>
  </si>
  <si>
    <t>L</t>
  </si>
  <si>
    <t>Walls</t>
  </si>
  <si>
    <t>non insulated</t>
  </si>
  <si>
    <t>0.19</t>
  </si>
  <si>
    <t>Interior wall insulation</t>
  </si>
  <si>
    <t>Roof</t>
  </si>
  <si>
    <t>0.22</t>
  </si>
  <si>
    <t>Roof insulation</t>
  </si>
  <si>
    <t>Floor</t>
  </si>
  <si>
    <t>0.15</t>
  </si>
  <si>
    <t>Floor insulation</t>
  </si>
  <si>
    <t>Infiltration</t>
  </si>
  <si>
    <t>no gap sealing</t>
  </si>
  <si>
    <t>min gap sealing</t>
  </si>
  <si>
    <t>good gap sealing</t>
  </si>
  <si>
    <t>Ventilation</t>
  </si>
  <si>
    <t>natural</t>
  </si>
  <si>
    <t>ventilation system C1</t>
  </si>
  <si>
    <t>ventilation system D (HRV 90%)</t>
  </si>
  <si>
    <t>&lt;1946 not protected</t>
  </si>
  <si>
    <t>B</t>
  </si>
  <si>
    <t>HR++</t>
  </si>
  <si>
    <t>G</t>
  </si>
  <si>
    <t>Exterior wall insulation</t>
  </si>
  <si>
    <t>1946-1974 (cavity wall insulation not possible)</t>
  </si>
  <si>
    <t>double glazing</t>
  </si>
  <si>
    <t>2.8</t>
  </si>
  <si>
    <t>M</t>
  </si>
  <si>
    <t>low insulated</t>
  </si>
  <si>
    <t>0.36</t>
  </si>
  <si>
    <t>0.39</t>
  </si>
  <si>
    <t>0.32</t>
  </si>
  <si>
    <t>1946-1974 (cavity wall insulation  possible)</t>
  </si>
  <si>
    <t>C</t>
  </si>
  <si>
    <t>triple_glas</t>
  </si>
  <si>
    <t>H</t>
  </si>
  <si>
    <t>ALMOST-LT ready*</t>
  </si>
  <si>
    <t>N</t>
  </si>
  <si>
    <t>cavity_w_insulation</t>
  </si>
  <si>
    <t>1975-1991 (cavity wall insulation   not possible)</t>
  </si>
  <si>
    <t>double_glas</t>
  </si>
  <si>
    <t>D</t>
  </si>
  <si>
    <t>I</t>
  </si>
  <si>
    <t>O</t>
  </si>
  <si>
    <t>medium insulated</t>
  </si>
  <si>
    <t>1.3</t>
  </si>
  <si>
    <t>Int or Ext wall insulation</t>
  </si>
  <si>
    <t>0.52</t>
  </si>
  <si>
    <t>1975-1991 (cavity wall insulation possible)</t>
  </si>
  <si>
    <t>J</t>
  </si>
  <si>
    <t>&gt;1992</t>
  </si>
  <si>
    <t>E</t>
  </si>
  <si>
    <t xml:space="preserve">&gt;1992 </t>
  </si>
  <si>
    <t>K</t>
  </si>
  <si>
    <t>P</t>
  </si>
  <si>
    <t>well insulated</t>
  </si>
  <si>
    <t>original</t>
  </si>
  <si>
    <t>addition</t>
  </si>
  <si>
    <t>Column1</t>
  </si>
  <si>
    <t>Protection</t>
  </si>
  <si>
    <t>Count</t>
  </si>
  <si>
    <t>&lt;1946 no orde</t>
  </si>
  <si>
    <t>no orde</t>
  </si>
  <si>
    <t>Addresses not considered as protected</t>
  </si>
  <si>
    <t>% all protected</t>
  </si>
  <si>
    <t>&lt;1946 orde 1</t>
  </si>
  <si>
    <t>orde 1</t>
  </si>
  <si>
    <t>orde 1 protected &gt;1945</t>
  </si>
  <si>
    <t>&lt;1946 orde 2</t>
  </si>
  <si>
    <t>orde 2</t>
  </si>
  <si>
    <t>orde 2 protected &gt;1945</t>
  </si>
  <si>
    <t>&lt;1946 orde 3</t>
  </si>
  <si>
    <t>orde 3</t>
  </si>
  <si>
    <t>orde 3 protected &gt;1945</t>
  </si>
  <si>
    <t>1946-1974</t>
  </si>
  <si>
    <t>Total</t>
  </si>
  <si>
    <t>1975-1991</t>
  </si>
  <si>
    <t>TOTAL</t>
  </si>
  <si>
    <t>GIS-layer</t>
  </si>
  <si>
    <t>Archetypes</t>
  </si>
  <si>
    <t>Sf conditioned (m2)</t>
  </si>
  <si>
    <t>Ns</t>
  </si>
  <si>
    <t>Outdoor surface area</t>
  </si>
  <si>
    <t>Volume</t>
  </si>
  <si>
    <t>Floor height</t>
  </si>
  <si>
    <t>Heat Loss Form Factor*</t>
  </si>
  <si>
    <t>Corner</t>
  </si>
  <si>
    <t>Apartment in multi-family house</t>
  </si>
  <si>
    <t>*outdoor envelope surface/useable surface</t>
  </si>
  <si>
    <t>Buildings</t>
  </si>
  <si>
    <t>Current space heating demand per year</t>
  </si>
  <si>
    <t>Space heating demand retrofitted buildings to LT-level per year</t>
  </si>
  <si>
    <t>Reduction in space heating demand after LT-renovations (building)</t>
  </si>
  <si>
    <t>Units</t>
  </si>
  <si>
    <t>MWh</t>
  </si>
  <si>
    <t>NULL (missing) values*</t>
  </si>
  <si>
    <t>%</t>
  </si>
  <si>
    <t>Minimum value (MWh)</t>
  </si>
  <si>
    <t>m3 gas</t>
  </si>
  <si>
    <t>Maximum value (MWh)</t>
  </si>
  <si>
    <t xml:space="preserve">Current </t>
  </si>
  <si>
    <t>Sum (MWh)</t>
  </si>
  <si>
    <t>Mean value (MWh)</t>
  </si>
  <si>
    <t>Median value (MWh)</t>
  </si>
  <si>
    <t>SD (MWh)</t>
  </si>
  <si>
    <t>*Buildings with typology attribute but no woonfunctie</t>
  </si>
  <si>
    <t>Addresses</t>
  </si>
  <si>
    <t>Reduction in space heating demand after LT-renovations (addresses)</t>
  </si>
  <si>
    <t>NULL (missing) values</t>
  </si>
  <si>
    <t>m3 gas*</t>
  </si>
  <si>
    <t>CBS 2014</t>
  </si>
  <si>
    <t>*1 m³ ≈ 10,55 kWh ≈ 0,01055 MWh</t>
  </si>
  <si>
    <t>MJ</t>
  </si>
  <si>
    <t>GJ</t>
  </si>
  <si>
    <t>Current (only intersection CBS)</t>
  </si>
  <si>
    <t>3.9 times residential needs</t>
  </si>
  <si>
    <t>Deviation (%)</t>
  </si>
  <si>
    <t>Space heating demand (kWh/m2)</t>
  </si>
  <si>
    <t xml:space="preserve">Appartement current </t>
  </si>
  <si>
    <t xml:space="preserve">Appartement renovated </t>
  </si>
  <si>
    <t xml:space="preserve">Corner house current </t>
  </si>
  <si>
    <t xml:space="preserve">Corner house renovated </t>
  </si>
  <si>
    <t>Terraced current</t>
  </si>
  <si>
    <t>Terraced renovated</t>
  </si>
  <si>
    <t>Appartement</t>
  </si>
  <si>
    <t>current</t>
  </si>
  <si>
    <t>renovated</t>
  </si>
  <si>
    <t>Space heating demand (m3/m2)</t>
  </si>
  <si>
    <t>Appartement renovated</t>
  </si>
  <si>
    <t>Corner house current</t>
  </si>
  <si>
    <t>Corner house renovated</t>
  </si>
  <si>
    <t>Average</t>
  </si>
  <si>
    <t>Total gas demand (m3/m2)*</t>
  </si>
  <si>
    <t>Deviation CBS (%)</t>
  </si>
  <si>
    <t>Deviation CBS (%)2</t>
  </si>
  <si>
    <t>Deviation CBS (%)3</t>
  </si>
  <si>
    <t>* Domestic Hot Water is considered at 36,936 kWh/m2</t>
  </si>
  <si>
    <t>Domestic Hot Water</t>
  </si>
  <si>
    <t>units</t>
  </si>
  <si>
    <t>kWh/m2</t>
  </si>
  <si>
    <t>m3/m2</t>
  </si>
  <si>
    <t>CBS Total gas demand (m3/m2)</t>
  </si>
  <si>
    <t>Average (m3/m2)</t>
  </si>
  <si>
    <t>1200 tot en met 1945</t>
  </si>
  <si>
    <t>50 m2 tot 75 m2</t>
  </si>
  <si>
    <t>75.000 tot 100.000</t>
  </si>
  <si>
    <t>1946 tot en met 1964</t>
  </si>
  <si>
    <t>100.000 tot 250.000</t>
  </si>
  <si>
    <t>1965 tot en met 1974</t>
  </si>
  <si>
    <t>1975 tot en met 1991</t>
  </si>
  <si>
    <t>1992 tot en met 1999</t>
  </si>
  <si>
    <t>50.000 tot 75.000</t>
  </si>
  <si>
    <t>Totaal bouwjaarklasse</t>
  </si>
  <si>
    <t>vanaf 500.000</t>
  </si>
  <si>
    <t>Hoekwoning</t>
  </si>
  <si>
    <t>100 m2 tot 150 m2</t>
  </si>
  <si>
    <t>5.000 tot 10.000</t>
  </si>
  <si>
    <t>10.000 tot 25.000</t>
  </si>
  <si>
    <t>25.000 tot 50.000</t>
  </si>
  <si>
    <t>Tussen of geschakelde woning</t>
  </si>
  <si>
    <t>Totaal oppervlakteklasse</t>
  </si>
  <si>
    <t>&lt;1945</t>
  </si>
  <si>
    <t>1945-1975</t>
  </si>
  <si>
    <t>1975-1995</t>
  </si>
  <si>
    <t>&gt;1995</t>
  </si>
  <si>
    <t>Nieman</t>
  </si>
  <si>
    <t>RVO</t>
  </si>
  <si>
    <t>Honeybee</t>
  </si>
  <si>
    <t>Vesta</t>
  </si>
  <si>
    <t>Detached</t>
  </si>
  <si>
    <t> </t>
  </si>
  <si>
    <t>Space heating</t>
  </si>
  <si>
    <t>Aantallen</t>
  </si>
  <si>
    <t>Hot water</t>
  </si>
  <si>
    <t>Cooling</t>
  </si>
  <si>
    <t>Heating</t>
  </si>
  <si>
    <t>Kolom1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</si>
</sst>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FFFF"/>
      <name val="Arial"/>
      <family val="2"/>
    </font>
    <font>
      <sz val="11"/>
      <color rgb="FF000000"/>
      <name val="Arial"/>
      <family val="2"/>
      <scheme val="minor"/>
    </font>
    <font>
      <sz val="9"/>
      <name val="Arial"/>
      <family val="2"/>
    </font>
    <font>
      <sz val="9"/>
      <color rgb="FFFFFFFF"/>
      <name val="Arial"/>
      <family val="2"/>
    </font>
    <font>
      <b/>
      <sz val="9"/>
      <color rgb="FF000000"/>
      <name val="Arial"/>
      <family val="2"/>
    </font>
    <font>
      <sz val="10"/>
      <color rgb="FFFFFFFF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46BDC6"/>
        <bgColor rgb="FF46BDC6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0" borderId="0"/>
  </cellStyleXfs>
  <cellXfs count="150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wrapText="1"/>
    </xf>
    <xf numFmtId="0" fontId="9" fillId="9" borderId="9" xfId="0" applyFont="1" applyFill="1" applyBorder="1" applyAlignment="1">
      <alignment horizontal="center" wrapText="1"/>
    </xf>
    <xf numFmtId="0" fontId="9" fillId="0" borderId="10" xfId="0" applyFont="1" applyBorder="1" applyAlignment="1">
      <alignment wrapText="1"/>
    </xf>
    <xf numFmtId="0" fontId="9" fillId="10" borderId="11" xfId="0" applyFont="1" applyFill="1" applyBorder="1" applyAlignment="1">
      <alignment horizontal="center" wrapText="1"/>
    </xf>
    <xf numFmtId="0" fontId="9" fillId="11" borderId="10" xfId="0" applyFont="1" applyFill="1" applyBorder="1" applyAlignment="1">
      <alignment wrapText="1"/>
    </xf>
    <xf numFmtId="0" fontId="13" fillId="11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 wrapText="1"/>
    </xf>
    <xf numFmtId="0" fontId="9" fillId="11" borderId="10" xfId="0" applyFont="1" applyFill="1" applyBorder="1"/>
    <xf numFmtId="0" fontId="4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0" fillId="0" borderId="1" xfId="0" applyBorder="1"/>
    <xf numFmtId="0" fontId="9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2" fontId="4" fillId="14" borderId="6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9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1" fontId="9" fillId="0" borderId="0" xfId="0" applyNumberFormat="1" applyFont="1" applyAlignment="1">
      <alignment wrapText="1"/>
    </xf>
    <xf numFmtId="1" fontId="9" fillId="0" borderId="0" xfId="0" applyNumberFormat="1" applyFont="1" applyAlignment="1">
      <alignment horizontal="right" wrapText="1"/>
    </xf>
    <xf numFmtId="1" fontId="9" fillId="0" borderId="0" xfId="0" applyNumberFormat="1" applyFont="1" applyAlignment="1">
      <alignment horizontal="right" vertical="center" wrapText="1"/>
    </xf>
    <xf numFmtId="1" fontId="17" fillId="0" borderId="0" xfId="0" applyNumberFormat="1" applyFont="1"/>
    <xf numFmtId="164" fontId="9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0" fontId="18" fillId="0" borderId="0" xfId="0" applyFont="1"/>
    <xf numFmtId="0" fontId="9" fillId="0" borderId="0" xfId="0" applyFont="1" applyAlignment="1">
      <alignment wrapText="1"/>
    </xf>
    <xf numFmtId="0" fontId="20" fillId="16" borderId="12" xfId="0" applyFont="1" applyFill="1" applyBorder="1" applyAlignment="1">
      <alignment horizontal="right" vertical="center" wrapText="1"/>
    </xf>
    <xf numFmtId="0" fontId="20" fillId="16" borderId="13" xfId="0" applyFont="1" applyFill="1" applyBorder="1" applyAlignment="1">
      <alignment horizontal="right" vertical="center" wrapText="1"/>
    </xf>
    <xf numFmtId="164" fontId="21" fillId="17" borderId="12" xfId="0" applyNumberFormat="1" applyFont="1" applyFill="1" applyBorder="1" applyAlignment="1">
      <alignment horizontal="right"/>
    </xf>
    <xf numFmtId="0" fontId="21" fillId="17" borderId="13" xfId="0" applyFont="1" applyFill="1" applyBorder="1"/>
    <xf numFmtId="1" fontId="9" fillId="0" borderId="0" xfId="0" applyNumberFormat="1" applyFont="1"/>
    <xf numFmtId="0" fontId="9" fillId="0" borderId="0" xfId="0" applyFont="1" applyAlignment="1">
      <alignment horizontal="right"/>
    </xf>
    <xf numFmtId="1" fontId="21" fillId="17" borderId="12" xfId="0" applyNumberFormat="1" applyFont="1" applyFill="1" applyBorder="1" applyAlignment="1">
      <alignment horizontal="right"/>
    </xf>
    <xf numFmtId="164" fontId="9" fillId="0" borderId="0" xfId="0" applyNumberFormat="1" applyFont="1" applyAlignment="1">
      <alignment horizontal="center" wrapText="1"/>
    </xf>
    <xf numFmtId="0" fontId="17" fillId="0" borderId="0" xfId="0" applyFont="1"/>
    <xf numFmtId="164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1" fillId="0" borderId="14" xfId="0" applyNumberFormat="1" applyFont="1" applyBorder="1" applyAlignment="1">
      <alignment horizontal="center" wrapText="1"/>
    </xf>
    <xf numFmtId="164" fontId="21" fillId="0" borderId="14" xfId="0" applyNumberFormat="1" applyFont="1" applyBorder="1" applyAlignment="1">
      <alignment horizontal="center" vertical="center" wrapText="1"/>
    </xf>
    <xf numFmtId="0" fontId="20" fillId="16" borderId="0" xfId="0" applyFont="1" applyFill="1" applyAlignment="1">
      <alignment horizontal="center" vertical="center" wrapText="1"/>
    </xf>
    <xf numFmtId="0" fontId="20" fillId="16" borderId="0" xfId="0" applyFont="1" applyFill="1" applyAlignment="1">
      <alignment horizontal="center" wrapText="1"/>
    </xf>
    <xf numFmtId="0" fontId="22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23" fillId="16" borderId="12" xfId="0" applyFont="1" applyFill="1" applyBorder="1" applyAlignment="1">
      <alignment horizontal="right" vertical="center" wrapText="1"/>
    </xf>
    <xf numFmtId="0" fontId="18" fillId="16" borderId="13" xfId="0" applyFont="1" applyFill="1" applyBorder="1" applyAlignment="1">
      <alignment horizontal="right" vertical="center" wrapText="1"/>
    </xf>
    <xf numFmtId="164" fontId="18" fillId="17" borderId="12" xfId="0" applyNumberFormat="1" applyFont="1" applyFill="1" applyBorder="1" applyAlignment="1">
      <alignment horizontal="right"/>
    </xf>
    <xf numFmtId="0" fontId="18" fillId="17" borderId="13" xfId="0" applyFont="1" applyFill="1" applyBorder="1"/>
    <xf numFmtId="1" fontId="18" fillId="0" borderId="0" xfId="0" applyNumberFormat="1" applyFont="1"/>
    <xf numFmtId="0" fontId="18" fillId="0" borderId="0" xfId="0" applyFont="1" applyAlignment="1">
      <alignment horizontal="center" vertical="center" wrapText="1"/>
    </xf>
    <xf numFmtId="0" fontId="23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1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horizontal="right" wrapText="1"/>
    </xf>
    <xf numFmtId="1" fontId="18" fillId="0" borderId="0" xfId="0" applyNumberFormat="1" applyFont="1" applyAlignment="1">
      <alignment horizontal="right" vertical="center" wrapText="1"/>
    </xf>
    <xf numFmtId="1" fontId="24" fillId="0" borderId="0" xfId="0" applyNumberFormat="1" applyFont="1"/>
    <xf numFmtId="1" fontId="9" fillId="0" borderId="0" xfId="0" applyNumberFormat="1" applyFont="1" applyAlignment="1">
      <alignment horizontal="center" wrapText="1"/>
    </xf>
    <xf numFmtId="0" fontId="20" fillId="16" borderId="15" xfId="0" applyFont="1" applyFill="1" applyBorder="1" applyAlignment="1">
      <alignment horizontal="right" vertical="center" wrapText="1"/>
    </xf>
    <xf numFmtId="0" fontId="20" fillId="16" borderId="16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0" fontId="4" fillId="0" borderId="0" xfId="0" applyFont="1"/>
    <xf numFmtId="0" fontId="14" fillId="0" borderId="1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5" fillId="4" borderId="1" xfId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6" fillId="5" borderId="1" xfId="2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5" fillId="4" borderId="2" xfId="1" applyBorder="1" applyAlignment="1">
      <alignment horizontal="center" vertical="center"/>
    </xf>
    <xf numFmtId="0" fontId="5" fillId="4" borderId="3" xfId="1" applyBorder="1" applyAlignment="1">
      <alignment horizontal="center" vertical="center"/>
    </xf>
    <xf numFmtId="0" fontId="4" fillId="7" borderId="7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6" borderId="1" xfId="3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2" fillId="0" borderId="1" xfId="2" applyNumberFormat="1" applyFont="1" applyFill="1" applyBorder="1" applyAlignment="1">
      <alignment horizontal="center" vertical="center"/>
    </xf>
    <xf numFmtId="0" fontId="16" fillId="13" borderId="4" xfId="0" applyFont="1" applyFill="1" applyBorder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3" borderId="7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  <xf numFmtId="0" fontId="19" fillId="15" borderId="0" xfId="0" applyFont="1" applyFill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 wrapText="1"/>
    </xf>
  </cellXfs>
  <cellStyles count="5">
    <cellStyle name="Goed" xfId="1" builtinId="26"/>
    <cellStyle name="Neutraal" xfId="3" builtinId="28"/>
    <cellStyle name="Normal 2" xfId="4" xr:uid="{00000000-0005-0000-0000-000004000000}"/>
    <cellStyle name="Ongeldig" xfId="2" builtinId="27"/>
    <cellStyle name="Standaard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theme="9"/>
          <bgColor theme="9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none"/>
      </fill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  <alignment horizont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"/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rgb="FFD9E1F2"/>
        </patternFill>
      </fill>
      <alignment horizontal="center" vertical="center" textRotation="0" wrapText="1" indent="0" justifyLastLine="0" shrinkToFit="0" readingOrder="0"/>
    </dxf>
    <dxf>
      <border>
        <left/>
        <right/>
        <top/>
        <bottom/>
      </border>
    </dxf>
    <dxf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none">
          <fgColor indexed="64"/>
          <bgColor rgb="FF4472C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bottom" textRotation="0" wrapText="0" indent="0" justifyLastLine="0" shrinkToFit="0" readingOrder="0"/>
    </dxf>
    <dxf>
      <font>
        <sz val="9"/>
        <name val="Arial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numFmt numFmtId="1" formatCode="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alignment horizontal="right" vertical="center" textRotation="0" wrapText="1" indent="0" justifyLastLine="0" shrinkToFit="0" readingOrder="0"/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79B57C"/>
      <color rgb="FF199C1F"/>
      <color rgb="FF8DF292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Appartment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4-4FFF-8E05-3C120E2C2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4-4FFF-8E05-3C120E2C2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44-4FFF-8E05-3C120E2C2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44-4FFF-8E05-3C120E2C2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44-4FFF-8E05-3C120E2C2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44-4FFF-8E05-3C120E2C23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44-4FFF-8E05-3C120E2C23A9}"/>
              </c:ext>
            </c:extLst>
          </c:dPt>
          <c:cat>
            <c:strRef>
              <c:f>Statistics!$A$2:$A$8</c:f>
              <c:strCache>
                <c:ptCount val="7"/>
                <c:pt idx="0">
                  <c:v>&lt;1946 no orde</c:v>
                </c:pt>
                <c:pt idx="1">
                  <c:v>&lt;1946 orde 1</c:v>
                </c:pt>
                <c:pt idx="2">
                  <c:v>&lt;1946 orde 2</c:v>
                </c:pt>
                <c:pt idx="3">
                  <c:v>&lt;1946 orde 3</c:v>
                </c:pt>
                <c:pt idx="4">
                  <c:v>1946-1974</c:v>
                </c:pt>
                <c:pt idx="5">
                  <c:v>1975-1991</c:v>
                </c:pt>
                <c:pt idx="6">
                  <c:v>&gt;1992</c:v>
                </c:pt>
              </c:strCache>
            </c:strRef>
          </c:cat>
          <c:val>
            <c:numRef>
              <c:f>Statistics!$B$2:$B$8</c:f>
              <c:numCache>
                <c:formatCode>General</c:formatCode>
                <c:ptCount val="7"/>
                <c:pt idx="0">
                  <c:v>1422</c:v>
                </c:pt>
                <c:pt idx="1">
                  <c:v>18312</c:v>
                </c:pt>
                <c:pt idx="2">
                  <c:v>10196</c:v>
                </c:pt>
                <c:pt idx="3">
                  <c:v>3323</c:v>
                </c:pt>
                <c:pt idx="4">
                  <c:v>1521</c:v>
                </c:pt>
                <c:pt idx="5">
                  <c:v>9437</c:v>
                </c:pt>
                <c:pt idx="6">
                  <c:v>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9-4ADE-A7ED-41DEA8B8299E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Semi-detached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44-4FFF-8E05-3C120E2C2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44-4FFF-8E05-3C120E2C2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44-4FFF-8E05-3C120E2C2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44-4FFF-8E05-3C120E2C2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44-4FFF-8E05-3C120E2C2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844-4FFF-8E05-3C120E2C23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844-4FFF-8E05-3C120E2C23A9}"/>
              </c:ext>
            </c:extLst>
          </c:dPt>
          <c:cat>
            <c:strRef>
              <c:f>Statistics!$A$2:$A$8</c:f>
              <c:strCache>
                <c:ptCount val="7"/>
                <c:pt idx="0">
                  <c:v>&lt;1946 no orde</c:v>
                </c:pt>
                <c:pt idx="1">
                  <c:v>&lt;1946 orde 1</c:v>
                </c:pt>
                <c:pt idx="2">
                  <c:v>&lt;1946 orde 2</c:v>
                </c:pt>
                <c:pt idx="3">
                  <c:v>&lt;1946 orde 3</c:v>
                </c:pt>
                <c:pt idx="4">
                  <c:v>1946-1974</c:v>
                </c:pt>
                <c:pt idx="5">
                  <c:v>1975-1991</c:v>
                </c:pt>
                <c:pt idx="6">
                  <c:v>&gt;1992</c:v>
                </c:pt>
              </c:strCache>
            </c:strRef>
          </c:cat>
          <c:val>
            <c:numRef>
              <c:f>Statistics!$C$2:$C$8</c:f>
              <c:numCache>
                <c:formatCode>General</c:formatCode>
                <c:ptCount val="7"/>
                <c:pt idx="0">
                  <c:v>5</c:v>
                </c:pt>
                <c:pt idx="1">
                  <c:v>82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9-4ADE-A7ED-41DEA8B8299E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Terraced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844-4FFF-8E05-3C120E2C2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844-4FFF-8E05-3C120E2C2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844-4FFF-8E05-3C120E2C2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844-4FFF-8E05-3C120E2C2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844-4FFF-8E05-3C120E2C2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844-4FFF-8E05-3C120E2C23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844-4FFF-8E05-3C120E2C23A9}"/>
              </c:ext>
            </c:extLst>
          </c:dPt>
          <c:cat>
            <c:strRef>
              <c:f>Statistics!$A$2:$A$8</c:f>
              <c:strCache>
                <c:ptCount val="7"/>
                <c:pt idx="0">
                  <c:v>&lt;1946 no orde</c:v>
                </c:pt>
                <c:pt idx="1">
                  <c:v>&lt;1946 orde 1</c:v>
                </c:pt>
                <c:pt idx="2">
                  <c:v>&lt;1946 orde 2</c:v>
                </c:pt>
                <c:pt idx="3">
                  <c:v>&lt;1946 orde 3</c:v>
                </c:pt>
                <c:pt idx="4">
                  <c:v>1946-1974</c:v>
                </c:pt>
                <c:pt idx="5">
                  <c:v>1975-1991</c:v>
                </c:pt>
                <c:pt idx="6">
                  <c:v>&gt;1992</c:v>
                </c:pt>
              </c:strCache>
            </c:strRef>
          </c:cat>
          <c:val>
            <c:numRef>
              <c:f>Statistics!$D$2:$D$8</c:f>
              <c:numCache>
                <c:formatCode>General</c:formatCode>
                <c:ptCount val="7"/>
                <c:pt idx="0">
                  <c:v>49</c:v>
                </c:pt>
                <c:pt idx="1">
                  <c:v>1395</c:v>
                </c:pt>
                <c:pt idx="2">
                  <c:v>394</c:v>
                </c:pt>
                <c:pt idx="3">
                  <c:v>139</c:v>
                </c:pt>
                <c:pt idx="4">
                  <c:v>20</c:v>
                </c:pt>
                <c:pt idx="5">
                  <c:v>95</c:v>
                </c:pt>
                <c:pt idx="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9-4ADE-A7ED-41DEA8B8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heating demand [kWh/m2]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Statistics!$P$48:$AC$50</c:f>
              <c:multiLvlStrCache>
                <c:ptCount val="14"/>
                <c:lvl>
                  <c:pt idx="0">
                    <c:v>current</c:v>
                  </c:pt>
                  <c:pt idx="1">
                    <c:v>renovated</c:v>
                  </c:pt>
                  <c:pt idx="2">
                    <c:v>current</c:v>
                  </c:pt>
                  <c:pt idx="3">
                    <c:v>renovated</c:v>
                  </c:pt>
                  <c:pt idx="4">
                    <c:v>current</c:v>
                  </c:pt>
                  <c:pt idx="5">
                    <c:v>renovated</c:v>
                  </c:pt>
                  <c:pt idx="6">
                    <c:v>current</c:v>
                  </c:pt>
                  <c:pt idx="7">
                    <c:v>renovated</c:v>
                  </c:pt>
                  <c:pt idx="8">
                    <c:v>current</c:v>
                  </c:pt>
                  <c:pt idx="9">
                    <c:v>renovated</c:v>
                  </c:pt>
                  <c:pt idx="10">
                    <c:v>current</c:v>
                  </c:pt>
                  <c:pt idx="11">
                    <c:v>renovated</c:v>
                  </c:pt>
                  <c:pt idx="12">
                    <c:v>current</c:v>
                  </c:pt>
                  <c:pt idx="13">
                    <c:v>renovated</c:v>
                  </c:pt>
                </c:lvl>
                <c:lvl>
                  <c:pt idx="0">
                    <c:v>&lt;1946 protected</c:v>
                  </c:pt>
                  <c:pt idx="2">
                    <c:v>&lt;1946 not protected</c:v>
                  </c:pt>
                  <c:pt idx="4">
                    <c:v>1946-1974 (cavity wall insulation not possible)</c:v>
                  </c:pt>
                  <c:pt idx="6">
                    <c:v>1946-1974 (cavity wall insulation  possible)</c:v>
                  </c:pt>
                  <c:pt idx="8">
                    <c:v>1975-1991 (cavity wall insulation   not possible)</c:v>
                  </c:pt>
                  <c:pt idx="10">
                    <c:v>1975-1991 (cavity wall insulation possible)</c:v>
                  </c:pt>
                  <c:pt idx="12">
                    <c:v>&gt;1992</c:v>
                  </c:pt>
                </c:lvl>
                <c:lvl>
                  <c:pt idx="0">
                    <c:v>Appartement</c:v>
                  </c:pt>
                </c:lvl>
              </c:multiLvlStrCache>
            </c:multiLvlStrRef>
          </c:cat>
          <c:val>
            <c:numRef>
              <c:f>Statistics!$P$51:$AC$51</c:f>
              <c:numCache>
                <c:formatCode>General</c:formatCode>
                <c:ptCount val="14"/>
                <c:pt idx="0">
                  <c:v>156.69999999999999</c:v>
                </c:pt>
                <c:pt idx="1">
                  <c:v>36.799999999999997</c:v>
                </c:pt>
                <c:pt idx="2">
                  <c:v>156.69999999999999</c:v>
                </c:pt>
                <c:pt idx="3">
                  <c:v>33.6</c:v>
                </c:pt>
                <c:pt idx="4">
                  <c:v>110.7</c:v>
                </c:pt>
                <c:pt idx="5">
                  <c:v>33.6</c:v>
                </c:pt>
                <c:pt idx="6">
                  <c:v>110.7</c:v>
                </c:pt>
                <c:pt idx="7">
                  <c:v>39.08</c:v>
                </c:pt>
                <c:pt idx="8">
                  <c:v>62.93</c:v>
                </c:pt>
                <c:pt idx="9">
                  <c:v>38.92</c:v>
                </c:pt>
                <c:pt idx="10">
                  <c:v>62.93</c:v>
                </c:pt>
                <c:pt idx="11">
                  <c:v>39.08</c:v>
                </c:pt>
                <c:pt idx="12">
                  <c:v>41.48</c:v>
                </c:pt>
                <c:pt idx="13">
                  <c:v>35.07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B-4146-9D27-8AD376B76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2"/>
        <c:overlap val="-27"/>
        <c:axId val="202025591"/>
        <c:axId val="1730194887"/>
      </c:barChart>
      <c:catAx>
        <c:axId val="20202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0194887"/>
        <c:crosses val="autoZero"/>
        <c:auto val="1"/>
        <c:lblAlgn val="ctr"/>
        <c:lblOffset val="100"/>
        <c:noMultiLvlLbl val="0"/>
      </c:catAx>
      <c:valAx>
        <c:axId val="1730194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025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050"/>
              <a:t>Predicted space heating demand (kWh/m2)</a:t>
            </a:r>
          </a:p>
          <a:p>
            <a:pPr>
              <a:defRPr/>
            </a:pPr>
            <a:r>
              <a:rPr lang="nl-NL" sz="1050"/>
              <a:t>Appartment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with other models'!$B$6</c:f>
              <c:strCache>
                <c:ptCount val="1"/>
                <c:pt idx="0">
                  <c:v>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other models'!$C$4:$F$4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models'!$C$6:$F$6</c:f>
              <c:numCache>
                <c:formatCode>General</c:formatCode>
                <c:ptCount val="4"/>
                <c:pt idx="0">
                  <c:v>242.24</c:v>
                </c:pt>
                <c:pt idx="1">
                  <c:v>158.33000000000001</c:v>
                </c:pt>
                <c:pt idx="2">
                  <c:v>92.74</c:v>
                </c:pt>
                <c:pt idx="3">
                  <c:v>77.3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316-A9A9-2EE7437E41E8}"/>
            </c:ext>
          </c:extLst>
        </c:ser>
        <c:ser>
          <c:idx val="1"/>
          <c:order val="1"/>
          <c:tx>
            <c:strRef>
              <c:f>'Comparison with other models'!$B$5</c:f>
              <c:strCache>
                <c:ptCount val="1"/>
                <c:pt idx="0">
                  <c:v>Nieman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other models'!$C$4:$F$4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models'!$C$5:$F$5</c:f>
              <c:numCache>
                <c:formatCode>General</c:formatCode>
                <c:ptCount val="4"/>
                <c:pt idx="0">
                  <c:v>240</c:v>
                </c:pt>
                <c:pt idx="1">
                  <c:v>200</c:v>
                </c:pt>
                <c:pt idx="2">
                  <c:v>150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0-4316-A9A9-2EE7437E41E8}"/>
            </c:ext>
          </c:extLst>
        </c:ser>
        <c:ser>
          <c:idx val="2"/>
          <c:order val="2"/>
          <c:tx>
            <c:strRef>
              <c:f>'Comparison with other models'!$B$7</c:f>
              <c:strCache>
                <c:ptCount val="1"/>
                <c:pt idx="0">
                  <c:v>Honeybee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with other models'!$C$4:$F$4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models'!$C$7:$F$7</c:f>
              <c:numCache>
                <c:formatCode>General</c:formatCode>
                <c:ptCount val="4"/>
                <c:pt idx="0">
                  <c:v>156.69999999999999</c:v>
                </c:pt>
                <c:pt idx="1">
                  <c:v>110.7</c:v>
                </c:pt>
                <c:pt idx="2">
                  <c:v>62.93</c:v>
                </c:pt>
                <c:pt idx="3">
                  <c:v>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0-4316-A9A9-2EE7437E41E8}"/>
            </c:ext>
          </c:extLst>
        </c:ser>
        <c:ser>
          <c:idx val="3"/>
          <c:order val="3"/>
          <c:tx>
            <c:strRef>
              <c:f>'Comparison with other models'!$B$8</c:f>
              <c:strCache>
                <c:ptCount val="1"/>
                <c:pt idx="0">
                  <c:v>Vesta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with other models'!$C$4:$F$4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models'!$C$8:$F$8</c:f>
              <c:numCache>
                <c:formatCode>General</c:formatCode>
                <c:ptCount val="4"/>
                <c:pt idx="0">
                  <c:v>150.69999999999999</c:v>
                </c:pt>
                <c:pt idx="1">
                  <c:v>90.5</c:v>
                </c:pt>
                <c:pt idx="2">
                  <c:v>46.9</c:v>
                </c:pt>
                <c:pt idx="3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0-4316-A9A9-2EE7437E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61864"/>
        <c:axId val="338857600"/>
      </c:barChart>
      <c:catAx>
        <c:axId val="3388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57600"/>
        <c:crosses val="autoZero"/>
        <c:auto val="1"/>
        <c:lblAlgn val="ctr"/>
        <c:lblOffset val="100"/>
        <c:noMultiLvlLbl val="0"/>
      </c:catAx>
      <c:valAx>
        <c:axId val="338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Predicted space heating demand (kWh/m2) Terraced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with other models'!$B$12</c:f>
              <c:strCache>
                <c:ptCount val="1"/>
                <c:pt idx="0">
                  <c:v>Nieman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other models'!$C$11:$F$11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models'!$C$12:$F$12</c:f>
              <c:numCache>
                <c:formatCode>General</c:formatCode>
                <c:ptCount val="4"/>
                <c:pt idx="0">
                  <c:v>250</c:v>
                </c:pt>
                <c:pt idx="1">
                  <c:v>210</c:v>
                </c:pt>
                <c:pt idx="2">
                  <c:v>175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A-481F-ACEA-595126866832}"/>
            </c:ext>
          </c:extLst>
        </c:ser>
        <c:ser>
          <c:idx val="1"/>
          <c:order val="1"/>
          <c:tx>
            <c:strRef>
              <c:f>'Comparison with other models'!$B$13</c:f>
              <c:strCache>
                <c:ptCount val="1"/>
                <c:pt idx="0">
                  <c:v>RVO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other models'!$C$11:$F$11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models'!$C$13:$F$13</c:f>
              <c:numCache>
                <c:formatCode>General</c:formatCode>
                <c:ptCount val="4"/>
                <c:pt idx="0">
                  <c:v>249.31</c:v>
                </c:pt>
                <c:pt idx="1">
                  <c:v>167.63</c:v>
                </c:pt>
                <c:pt idx="2">
                  <c:v>110.06</c:v>
                </c:pt>
                <c:pt idx="3">
                  <c:v>75.33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A-481F-ACEA-595126866832}"/>
            </c:ext>
          </c:extLst>
        </c:ser>
        <c:ser>
          <c:idx val="2"/>
          <c:order val="2"/>
          <c:tx>
            <c:strRef>
              <c:f>'Comparison with other models'!$B$14</c:f>
              <c:strCache>
                <c:ptCount val="1"/>
                <c:pt idx="0">
                  <c:v>Honeybee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with other models'!$C$11:$F$11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models'!$C$14:$F$14</c:f>
              <c:numCache>
                <c:formatCode>General</c:formatCode>
                <c:ptCount val="4"/>
                <c:pt idx="0">
                  <c:v>237.34</c:v>
                </c:pt>
                <c:pt idx="1">
                  <c:v>177.44</c:v>
                </c:pt>
                <c:pt idx="2">
                  <c:v>125.17</c:v>
                </c:pt>
                <c:pt idx="3">
                  <c:v>104.87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A-481F-ACEA-595126866832}"/>
            </c:ext>
          </c:extLst>
        </c:ser>
        <c:ser>
          <c:idx val="3"/>
          <c:order val="3"/>
          <c:tx>
            <c:strRef>
              <c:f>'Comparison with other models'!$B$15</c:f>
              <c:strCache>
                <c:ptCount val="1"/>
                <c:pt idx="0">
                  <c:v>Vesta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with other models'!$C$11:$F$11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models'!$C$15:$F$15</c:f>
              <c:numCache>
                <c:formatCode>General</c:formatCode>
                <c:ptCount val="4"/>
                <c:pt idx="0">
                  <c:v>187.9</c:v>
                </c:pt>
                <c:pt idx="1">
                  <c:v>134.1</c:v>
                </c:pt>
                <c:pt idx="2">
                  <c:v>62.9</c:v>
                </c:pt>
                <c:pt idx="3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A-481F-ACEA-59512686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61864"/>
        <c:axId val="338857600"/>
      </c:barChart>
      <c:catAx>
        <c:axId val="3388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57600"/>
        <c:crosses val="autoZero"/>
        <c:auto val="1"/>
        <c:lblAlgn val="ctr"/>
        <c:lblOffset val="100"/>
        <c:noMultiLvlLbl val="0"/>
      </c:catAx>
      <c:valAx>
        <c:axId val="338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Predicted space heating demand (kWh/m2) Corner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with other models'!$B$18</c:f>
              <c:strCache>
                <c:ptCount val="1"/>
                <c:pt idx="0">
                  <c:v>Honeybee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models'!$C$18:$F$18</c:f>
              <c:numCache>
                <c:formatCode>General</c:formatCode>
                <c:ptCount val="4"/>
                <c:pt idx="0">
                  <c:v>331.28</c:v>
                </c:pt>
                <c:pt idx="1">
                  <c:v>256.57</c:v>
                </c:pt>
                <c:pt idx="2">
                  <c:v>171.16</c:v>
                </c:pt>
                <c:pt idx="3">
                  <c:v>143.87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A-40CA-ADFD-C12CA6FA3F18}"/>
            </c:ext>
          </c:extLst>
        </c:ser>
        <c:ser>
          <c:idx val="1"/>
          <c:order val="1"/>
          <c:tx>
            <c:strRef>
              <c:f>'Comparison with other models'!$B$19</c:f>
              <c:strCache>
                <c:ptCount val="1"/>
                <c:pt idx="0">
                  <c:v>Nieman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models'!$C$19:$F$19</c:f>
              <c:numCache>
                <c:formatCode>General</c:formatCode>
                <c:ptCount val="4"/>
                <c:pt idx="0">
                  <c:v>310</c:v>
                </c:pt>
                <c:pt idx="1">
                  <c:v>255</c:v>
                </c:pt>
                <c:pt idx="2">
                  <c:v>225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A-40CA-ADFD-C12CA6FA3F18}"/>
            </c:ext>
          </c:extLst>
        </c:ser>
        <c:ser>
          <c:idx val="2"/>
          <c:order val="2"/>
          <c:tx>
            <c:strRef>
              <c:f>'Comparison with other models'!$B$21</c:f>
              <c:strCache>
                <c:ptCount val="1"/>
                <c:pt idx="0">
                  <c:v>RVO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models'!$C$21:$F$21</c:f>
              <c:numCache>
                <c:formatCode>General</c:formatCode>
                <c:ptCount val="4"/>
                <c:pt idx="1">
                  <c:v>211.04</c:v>
                </c:pt>
                <c:pt idx="2">
                  <c:v>117.8</c:v>
                </c:pt>
                <c:pt idx="3">
                  <c:v>85.81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A-40CA-ADFD-C12CA6FA3F18}"/>
            </c:ext>
          </c:extLst>
        </c:ser>
        <c:ser>
          <c:idx val="3"/>
          <c:order val="3"/>
          <c:tx>
            <c:strRef>
              <c:f>'Comparison with other models'!$B$20</c:f>
              <c:strCache>
                <c:ptCount val="1"/>
                <c:pt idx="0">
                  <c:v>Vesta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models'!$C$20:$F$20</c:f>
              <c:numCache>
                <c:formatCode>General</c:formatCode>
                <c:ptCount val="4"/>
                <c:pt idx="0">
                  <c:v>166.7</c:v>
                </c:pt>
                <c:pt idx="1">
                  <c:v>138.9</c:v>
                </c:pt>
                <c:pt idx="2">
                  <c:v>67.3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A-40CA-ADFD-C12CA6FA3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61864"/>
        <c:axId val="338857600"/>
      </c:barChart>
      <c:catAx>
        <c:axId val="3388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57600"/>
        <c:crosses val="autoZero"/>
        <c:auto val="1"/>
        <c:lblAlgn val="ctr"/>
        <c:lblOffset val="100"/>
        <c:noMultiLvlLbl val="0"/>
      </c:catAx>
      <c:valAx>
        <c:axId val="338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Predicted space heating demand (kWh/m2) Detached 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with other models'!$B$24</c:f>
              <c:strCache>
                <c:ptCount val="1"/>
                <c:pt idx="0">
                  <c:v>Honeybee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models'!$C$24:$F$24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7-4C77-81C7-C9C373B43863}"/>
            </c:ext>
          </c:extLst>
        </c:ser>
        <c:ser>
          <c:idx val="1"/>
          <c:order val="1"/>
          <c:tx>
            <c:strRef>
              <c:f>'Comparison with other models'!$B$25</c:f>
              <c:strCache>
                <c:ptCount val="1"/>
                <c:pt idx="0">
                  <c:v>Nieman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models'!$C$25:$F$25</c:f>
              <c:numCache>
                <c:formatCode>General</c:formatCode>
                <c:ptCount val="4"/>
                <c:pt idx="0">
                  <c:v>350</c:v>
                </c:pt>
                <c:pt idx="1">
                  <c:v>292</c:v>
                </c:pt>
                <c:pt idx="2">
                  <c:v>260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7-4C77-81C7-C9C373B43863}"/>
            </c:ext>
          </c:extLst>
        </c:ser>
        <c:ser>
          <c:idx val="2"/>
          <c:order val="2"/>
          <c:tx>
            <c:strRef>
              <c:f>'Comparison with other models'!$B$26</c:f>
              <c:strCache>
                <c:ptCount val="1"/>
                <c:pt idx="0">
                  <c:v>Vesta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models'!$C$26:$F$26</c:f>
              <c:numCache>
                <c:formatCode>General</c:formatCode>
                <c:ptCount val="4"/>
                <c:pt idx="0">
                  <c:v>203</c:v>
                </c:pt>
                <c:pt idx="1">
                  <c:v>167.8</c:v>
                </c:pt>
                <c:pt idx="2">
                  <c:v>86.6</c:v>
                </c:pt>
                <c:pt idx="3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7-4C77-81C7-C9C373B43863}"/>
            </c:ext>
          </c:extLst>
        </c:ser>
        <c:ser>
          <c:idx val="3"/>
          <c:order val="3"/>
          <c:tx>
            <c:strRef>
              <c:f>'Comparison with other models'!$B$27</c:f>
              <c:strCache>
                <c:ptCount val="1"/>
                <c:pt idx="0">
                  <c:v>RVO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with other models'!$C$17:$F$17</c:f>
              <c:strCache>
                <c:ptCount val="4"/>
                <c:pt idx="0">
                  <c:v>&lt;1945</c:v>
                </c:pt>
                <c:pt idx="1">
                  <c:v>1945-1975</c:v>
                </c:pt>
                <c:pt idx="2">
                  <c:v>1975-1995</c:v>
                </c:pt>
                <c:pt idx="3">
                  <c:v>&gt;1995</c:v>
                </c:pt>
              </c:strCache>
            </c:strRef>
          </c:cat>
          <c:val>
            <c:numRef>
              <c:f>'Comparison with other models'!$C$27:$F$27</c:f>
              <c:numCache>
                <c:formatCode>General</c:formatCode>
                <c:ptCount val="4"/>
                <c:pt idx="1">
                  <c:v>244.13</c:v>
                </c:pt>
                <c:pt idx="2">
                  <c:v>128.52000000000001</c:v>
                </c:pt>
                <c:pt idx="3">
                  <c:v>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7-4C77-81C7-C9C373B4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61864"/>
        <c:axId val="338857600"/>
      </c:barChart>
      <c:catAx>
        <c:axId val="33886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57600"/>
        <c:crosses val="autoZero"/>
        <c:auto val="1"/>
        <c:lblAlgn val="ctr"/>
        <c:lblOffset val="100"/>
        <c:noMultiLvlLbl val="0"/>
      </c:catAx>
      <c:valAx>
        <c:axId val="338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88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8</xdr:row>
      <xdr:rowOff>133350</xdr:rowOff>
    </xdr:from>
    <xdr:to>
      <xdr:col>16</xdr:col>
      <xdr:colOff>485775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D1F43-81E6-0652-8841-647149BE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876300</xdr:colOff>
      <xdr:row>51</xdr:row>
      <xdr:rowOff>257175</xdr:rowOff>
    </xdr:from>
    <xdr:to>
      <xdr:col>22</xdr:col>
      <xdr:colOff>495300</xdr:colOff>
      <xdr:row>77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2751F-2347-B54C-3BAE-DD9C618628AE}"/>
            </a:ext>
            <a:ext uri="{147F2762-F138-4A5C-976F-8EAC2B608ADB}">
              <a16:predDERef xmlns:a16="http://schemas.microsoft.com/office/drawing/2014/main" pred="{9A5D1F43-81E6-0652-8841-647149BE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0</xdr:row>
      <xdr:rowOff>0</xdr:rowOff>
    </xdr:from>
    <xdr:to>
      <xdr:col>14</xdr:col>
      <xdr:colOff>104775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B5B50-EC8B-4B70-9BC8-1401DE9F8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14</xdr:row>
      <xdr:rowOff>66675</xdr:rowOff>
    </xdr:from>
    <xdr:to>
      <xdr:col>14</xdr:col>
      <xdr:colOff>171450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7F1D2-5F8E-4A82-B82A-D0E163A9D55C}"/>
            </a:ext>
            <a:ext uri="{147F2762-F138-4A5C-976F-8EAC2B608ADB}">
              <a16:predDERef xmlns:a16="http://schemas.microsoft.com/office/drawing/2014/main" pred="{392B5B50-EC8B-4B70-9BC8-1401DE9F8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29</xdr:row>
      <xdr:rowOff>104775</xdr:rowOff>
    </xdr:from>
    <xdr:to>
      <xdr:col>14</xdr:col>
      <xdr:colOff>152400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B518F-1212-4485-9253-F5CB0A3EEECC}"/>
            </a:ext>
            <a:ext uri="{147F2762-F138-4A5C-976F-8EAC2B608ADB}">
              <a16:predDERef xmlns:a16="http://schemas.microsoft.com/office/drawing/2014/main" pred="{9307F1D2-5F8E-4A82-B82A-D0E163A9D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45</xdr:row>
      <xdr:rowOff>9525</xdr:rowOff>
    </xdr:from>
    <xdr:to>
      <xdr:col>14</xdr:col>
      <xdr:colOff>180975</xdr:colOff>
      <xdr:row>60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99F174-9577-4CBC-9100-78FF0653B1EB}"/>
            </a:ext>
            <a:ext uri="{147F2762-F138-4A5C-976F-8EAC2B608ADB}">
              <a16:predDERef xmlns:a16="http://schemas.microsoft.com/office/drawing/2014/main" pred="{B4EB518F-1212-4485-9253-F5CB0A3EE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AB630-790E-4419-8DC4-165463DDCE2D}" name="Table1" displayName="Table1" ref="A20:C28" totalsRowShown="0" headerRowDxfId="145" dataDxfId="144">
  <autoFilter ref="A20:C28" xr:uid="{A54AB630-790E-4419-8DC4-165463DDCE2D}"/>
  <tableColumns count="3">
    <tableColumn id="1" xr3:uid="{1C57A307-3E8E-41AE-9A3D-5B1C873CA5F8}" name="Buildings" dataDxfId="143"/>
    <tableColumn id="2" xr3:uid="{5014A0B9-3EF9-4DE4-B32F-262CCAD02E5C}" name="Current space heating demand per year" dataDxfId="142"/>
    <tableColumn id="3" xr3:uid="{8D2FEACD-8FA1-4E05-BBC2-724FD313C5AD}" name="Space heating demand retrofitted buildings to LT-level per year" dataDxfId="14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623DF8-956F-4E54-9407-0103E70FFECD}" name="Table7612" displayName="Table7612" ref="A67:J75" totalsRowCount="1" headerRowDxfId="86" dataDxfId="85">
  <autoFilter ref="A67:J74" xr:uid="{4D623DF8-956F-4E54-9407-0103E70FFECD}"/>
  <tableColumns count="10">
    <tableColumn id="1" xr3:uid="{C931F855-C3ED-4499-9A73-67DB26FD4819}" name="Total gas demand (m3/m2)*" totalsRowLabel="Average" dataDxfId="84" totalsRowDxfId="83"/>
    <tableColumn id="2" xr3:uid="{D4060DD1-6D42-4314-AFB6-613666E5B32C}" name="Appartement current " totalsRowFunction="custom" dataDxfId="82" totalsRowDxfId="81">
      <calculatedColumnFormula>B58+A80</calculatedColumnFormula>
      <totalsRowFormula>AVERAGE(Table7612[[Appartement current ]])</totalsRowFormula>
    </tableColumn>
    <tableColumn id="8" xr3:uid="{0823E917-6610-40F3-AFF5-9C4AB95DE825}" name="Deviation CBS (%)" totalsRowFunction="custom" dataDxfId="80" totalsRowDxfId="79">
      <calculatedColumnFormula>((E83-B68)/E83)*100</calculatedColumnFormula>
      <totalsRowFormula>((E88-B75)/E88)*100</totalsRowFormula>
    </tableColumn>
    <tableColumn id="3" xr3:uid="{47C51133-22E6-4229-A87C-364CAC493416}" name="Appartement renovated" dataDxfId="78" totalsRowDxfId="77">
      <calculatedColumnFormula>C58+A78</calculatedColumnFormula>
    </tableColumn>
    <tableColumn id="4" xr3:uid="{C8D8ECB7-88A5-4332-BF10-FC26C00D17BB}" name="Corner house current" totalsRowFunction="custom" dataDxfId="76" totalsRowDxfId="75">
      <totalsRowFormula>AVERAGE(Table7612[Corner house current])</totalsRowFormula>
    </tableColumn>
    <tableColumn id="9" xr3:uid="{F589E3D2-5F9E-40BC-AAA7-DB9AECAA5FAB}" name="Deviation CBS (%)2" totalsRowFunction="custom" dataDxfId="74" totalsRowDxfId="73">
      <calculatedColumnFormula>((E88-E68)/E87)*100</calculatedColumnFormula>
      <totalsRowFormula>((E94-E75)/E94)*100</totalsRowFormula>
    </tableColumn>
    <tableColumn id="5" xr3:uid="{0E9F5108-D6CC-47CA-8384-241D5C3976CA}" name="Corner house renovated" dataDxfId="72" totalsRowDxfId="71"/>
    <tableColumn id="6" xr3:uid="{10F00144-7473-4DCF-B449-DAFCD806114E}" name="Terraced current" totalsRowFunction="custom" dataDxfId="70" totalsRowDxfId="69">
      <totalsRowFormula>AVERAGE(Table7612[Terraced current])</totalsRowFormula>
    </tableColumn>
    <tableColumn id="10" xr3:uid="{AF810CAE-A167-49A3-83F1-A9E180204E70}" name="Deviation CBS (%)3" totalsRowFunction="custom" dataDxfId="68" totalsRowDxfId="67">
      <calculatedColumnFormula>((E94-H68)/E94)*100</calculatedColumnFormula>
      <totalsRowFormula>((E100-H75)/E100)*100</totalsRowFormula>
    </tableColumn>
    <tableColumn id="7" xr3:uid="{4ABF716D-C1C2-4E06-AA10-E5534AA7EE3C}" name="Terraced renovated" dataDxfId="66" totalsRowDxfId="6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7B40F6-8A53-410C-ABCB-FA54932FF64E}" name="Table6" displayName="Table6" ref="A78:B80" totalsRowShown="0" tableBorderDxfId="64">
  <autoFilter ref="A78:B80" xr:uid="{6F7B40F6-8A53-410C-ABCB-FA54932FF64E}"/>
  <tableColumns count="2">
    <tableColumn id="1" xr3:uid="{15209196-75C9-41B1-9B01-26940272294C}" name="Domestic Hot Water" dataDxfId="63">
      <calculatedColumnFormula>A78/10.55</calculatedColumnFormula>
    </tableColumn>
    <tableColumn id="2" xr3:uid="{D90E52AE-154D-41E5-99FE-F95615311716}" name="units" dataDxfId="6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66702B-72A6-4D62-890B-78BB98CBFC55}" name="Table761213" displayName="Table761213" ref="A82:E100" totalsRowShown="0" headerRowDxfId="61" dataDxfId="60" totalsRowDxfId="59">
  <autoFilter ref="A82:E100" xr:uid="{3266702B-72A6-4D62-890B-78BB98CBFC55}"/>
  <tableColumns count="5">
    <tableColumn id="1" xr3:uid="{CD504047-5302-4CB1-BC93-307D984A52B2}" name="CBS Total gas demand (m3/m2)" dataDxfId="58" totalsRowDxfId="57"/>
    <tableColumn id="2" xr3:uid="{BDE13E97-3764-42F1-9E78-4B87F8C588DC}" name="Appartement current " dataDxfId="56" totalsRowDxfId="55">
      <calculatedColumnFormula>B73+A99</calculatedColumnFormula>
    </tableColumn>
    <tableColumn id="4" xr3:uid="{C2F76C8C-9846-454B-BEEC-ABDF42584B0F}" name="Corner house current" dataDxfId="54" totalsRowDxfId="53"/>
    <tableColumn id="6" xr3:uid="{991434CA-82A1-4D09-AEB9-ECB9687FF78A}" name="Terraced current" dataDxfId="52" totalsRowDxfId="51"/>
    <tableColumn id="3" xr3:uid="{DBAAF115-81FE-4C95-8502-8CD591A761DC}" name="Average (m3/m2)" dataDxfId="50" totalsRowDxfId="4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1687C5F-E82C-48C7-8FE5-4164242DBE39}" name="Table13" displayName="Table13" ref="E43:F46" totalsRowShown="0" headerRowDxfId="48" headerRowBorderDxfId="47" tableBorderDxfId="46">
  <autoFilter ref="E43:F46" xr:uid="{A1687C5F-E82C-48C7-8FE5-4164242DBE39}"/>
  <tableColumns count="2">
    <tableColumn id="1" xr3:uid="{674947B6-D291-4971-9629-DDA2B8FAA732}" name="Current (only intersection CBS)" dataDxfId="45">
      <calculatedColumnFormula>E43/0.01055</calculatedColumnFormula>
    </tableColumn>
    <tableColumn id="2" xr3:uid="{175973C3-DB08-4476-8B2E-1D6F85A77A19}" name="Units" dataDxfId="4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2226FA-8348-489B-B762-CDB87EB2CA1C}" name="Table915" displayName="Table915" ref="A2:D11" totalsRowShown="0" headerRowDxfId="43" dataDxfId="42" tableBorderDxfId="41">
  <autoFilter ref="A2:D11" xr:uid="{ED2226FA-8348-489B-B762-CDB87EB2CA1C}"/>
  <tableColumns count="4">
    <tableColumn id="1" xr3:uid="{0856FE3D-85CD-4045-AFB0-450BCC87C93D}" name="Column1" dataDxfId="40"/>
    <tableColumn id="2" xr3:uid="{FBF8391A-CE39-486B-B707-69E6365FC66E}" name="Appartment" dataDxfId="39"/>
    <tableColumn id="3" xr3:uid="{F7CCD8DB-A7DA-486F-A219-EEA0981D459D}" name="Semi-detached" dataDxfId="38"/>
    <tableColumn id="4" xr3:uid="{7BD1367A-68DF-49ED-89FE-38AAD3C10E38}" name="Terraced" dataDxfId="37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66CA5C6-140C-41EF-A892-D938BAD6F9A6}" name="Table91517" displayName="Table91517" ref="A14:D23" totalsRowShown="0" headerRowDxfId="36" dataDxfId="35" tableBorderDxfId="34">
  <autoFilter ref="A14:D23" xr:uid="{366CA5C6-140C-41EF-A892-D938BAD6F9A6}"/>
  <tableColumns count="4">
    <tableColumn id="1" xr3:uid="{81AAF8F1-84D0-4E0C-B406-FDF6304553FA}" name="Column1" dataDxfId="33"/>
    <tableColumn id="2" xr3:uid="{D4CCB8E7-3F16-495E-9D3E-74401EB46DB7}" name="Appartment" dataDxfId="32"/>
    <tableColumn id="3" xr3:uid="{B5C64621-2827-4B74-BFF1-846F529506BC}" name="Semi-detached" dataDxfId="31"/>
    <tableColumn id="4" xr3:uid="{B1F4FE70-2697-4997-9848-E622D98F6913}" name="Terraced" dataDxfId="30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702B220-80BF-49DF-B27E-3276C35F1F0B}" name="Table91519" displayName="Table91519" ref="F2:I11" totalsRowShown="0" headerRowDxfId="29" dataDxfId="28" tableBorderDxfId="27">
  <autoFilter ref="F2:I11" xr:uid="{C702B220-80BF-49DF-B27E-3276C35F1F0B}"/>
  <tableColumns count="4">
    <tableColumn id="1" xr3:uid="{5340A543-3DBD-4F28-AAD2-F05F05C1C40D}" name="Column1" dataDxfId="26"/>
    <tableColumn id="2" xr3:uid="{4E7A8A60-BF54-41A1-8BA3-ED766012B69F}" name="Appartment" dataDxfId="25"/>
    <tableColumn id="3" xr3:uid="{F6DFC46F-411B-4C19-B060-FDEE8F7F0BAC}" name="Semi-detached" dataDxfId="24"/>
    <tableColumn id="4" xr3:uid="{224A1DD6-473B-479C-8557-93DF4DAE6760}" name="Terraced" dataDxfId="23"/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9D82298-E28B-4AD4-BFFF-F7E4E0EDD29A}" name="Table91520" displayName="Table91520" ref="F14:J23" totalsRowShown="0" headerRowDxfId="22" dataDxfId="21" tableBorderDxfId="20">
  <autoFilter ref="F14:J23" xr:uid="{19D82298-E28B-4AD4-BFFF-F7E4E0EDD29A}"/>
  <tableColumns count="5">
    <tableColumn id="1" xr3:uid="{9A565B7F-FC12-4079-BD88-0778D49E317E}" name="Column1" dataDxfId="19"/>
    <tableColumn id="2" xr3:uid="{4A64F66A-3509-4C8E-A95C-34339B42BBBA}" name="Appartment" dataDxfId="18"/>
    <tableColumn id="3" xr3:uid="{682B3820-02AC-4E2B-836B-BABF7CE199EA}" name="Semi-detached" dataDxfId="17"/>
    <tableColumn id="4" xr3:uid="{50929438-CCF2-4A14-8F51-1C12769E161E}" name="Terraced" dataDxfId="16"/>
    <tableColumn id="5" xr3:uid="{364E7910-D710-4791-A7A9-5CBDB067EB65}" name="Kolom1" dataDxfId="15">
      <calculatedColumnFormula>SUM(Table91520[[#This Row],[Appartment]:[Terraced]])</calculatedColumnFormula>
    </tableColumn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2A7676-567D-4958-AFD8-9D57855AB32B}" name="Table91521" displayName="Table91521" ref="A26:D35" totalsRowShown="0" headerRowDxfId="14" dataDxfId="13" tableBorderDxfId="12">
  <autoFilter ref="A26:D35" xr:uid="{A72A7676-567D-4958-AFD8-9D57855AB32B}"/>
  <tableColumns count="4">
    <tableColumn id="1" xr3:uid="{03F444C1-10B5-4F59-B573-4301C7730635}" name="Column1" dataDxfId="11"/>
    <tableColumn id="2" xr3:uid="{4D8FF4DA-A575-41FE-B9E0-F327D6E4CD9E}" name="Appartment" dataDxfId="10"/>
    <tableColumn id="3" xr3:uid="{71FF4DB9-D935-42CE-8E4E-79E713B9DD29}" name="Semi-detached" dataDxfId="9"/>
    <tableColumn id="4" xr3:uid="{0E693DF5-1AD0-4FD7-B6CD-9C4449BA8715}" name="Terraced" dataDxfId="8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F493B4F-0A37-4D06-A7F4-2F989F8C0B78}" name="Table9152022" displayName="Table9152022" ref="F26:J35" totalsRowShown="0" headerRowDxfId="7" dataDxfId="6" tableBorderDxfId="5">
  <autoFilter ref="F26:J35" xr:uid="{EF493B4F-0A37-4D06-A7F4-2F989F8C0B78}"/>
  <tableColumns count="5">
    <tableColumn id="1" xr3:uid="{867EE245-A0B0-4EB4-B3B6-85EF31134B9D}" name="Column1" dataDxfId="4"/>
    <tableColumn id="2" xr3:uid="{74104886-F2D0-4422-8192-C5FF4BB469ED}" name="Appartment" dataDxfId="3"/>
    <tableColumn id="3" xr3:uid="{2018E4A2-D5AD-4823-B6B4-F67080627A5F}" name="Semi-detached" dataDxfId="2"/>
    <tableColumn id="4" xr3:uid="{446F78E9-053C-4EF7-819B-FE6BF8228D5A}" name="Terraced" dataDxfId="1"/>
    <tableColumn id="5" xr3:uid="{6ACD626A-EABC-452B-9FE9-8E396016CF35}" name="Kolom1" dataDxfId="0">
      <calculatedColumnFormula>SUM(Table9152022[[#This Row],[Appartment]:[Terraced]])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5CE38-56DF-434E-9A7D-6D2D75D033B7}" name="Table2" displayName="Table2" ref="E20:F26" totalsRowShown="0" headerRowDxfId="140" dataDxfId="139">
  <autoFilter ref="E20:F26" xr:uid="{4875CE38-56DF-434E-9A7D-6D2D75D033B7}"/>
  <tableColumns count="2">
    <tableColumn id="1" xr3:uid="{E2EB74AB-370E-4B76-96AC-1B2768E24D5E}" name="Reduction in space heating demand after LT-renovations (building)" dataDxfId="138"/>
    <tableColumn id="2" xr3:uid="{585AE96A-0880-4F08-A0A1-A2FA3AEB937A}" name="Units" dataDxfId="1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DBAB0A-CCDF-4D0F-A1F4-950A5D54A5C0}" name="Table14" displayName="Table14" ref="A32:C40" totalsRowShown="0">
  <autoFilter ref="A32:C40" xr:uid="{21DBAB0A-CCDF-4D0F-A1F4-950A5D54A5C0}"/>
  <tableColumns count="3">
    <tableColumn id="1" xr3:uid="{413C46EF-6BA6-4A59-8648-E62E83F28820}" name="Addresses" dataDxfId="136"/>
    <tableColumn id="2" xr3:uid="{2C70C8C4-4850-433B-86B4-7CB0E64BB3BF}" name="Current space heating demand per year" dataDxfId="135"/>
    <tableColumn id="3" xr3:uid="{C0A74D71-5914-4CF4-A626-77D636D19B34}" name="Space heating demand retrofitted buildings to LT-level per year" dataDxfId="1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168605-5EFF-48DB-A29D-A1DD4A8959D7}" name="Table25" displayName="Table25" ref="E32:F35" totalsRowShown="0" headerRowDxfId="133">
  <autoFilter ref="E32:F35" xr:uid="{BE168605-5EFF-48DB-A29D-A1DD4A8959D7}"/>
  <tableColumns count="2">
    <tableColumn id="1" xr3:uid="{66D2EFED-4E3E-4866-B3A2-310284A490E0}" name="Reduction in space heating demand after LT-renovations (addresses)"/>
    <tableColumn id="2" xr3:uid="{FB4CE67C-71B7-4B1D-A2FE-354A48E52EF2}" name="Units" dataDxfId="1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5E3212-6464-4469-A2A5-0181EA1B3F0E}" name="Table7" displayName="Table7" ref="A48:G55" totalsRowShown="0" headerRowDxfId="131" dataDxfId="130">
  <autoFilter ref="A48:G55" xr:uid="{4B5E3212-6464-4469-A2A5-0181EA1B3F0E}"/>
  <tableColumns count="7">
    <tableColumn id="1" xr3:uid="{F6261BD5-E270-44B0-8B04-E9873B81D9A4}" name="Space heating demand (kWh/m2)" dataDxfId="129"/>
    <tableColumn id="2" xr3:uid="{0E7A9AE9-6BC2-4811-BC02-E6F50D61024A}" name="Appartement current " dataDxfId="128">
      <calculatedColumnFormula>Typos!G4</calculatedColumnFormula>
    </tableColumn>
    <tableColumn id="3" xr3:uid="{0F820C9F-022D-418F-BBC3-65239414594B}" name="Appartement renovated " dataDxfId="127">
      <calculatedColumnFormula>Typos!N14</calculatedColumnFormula>
    </tableColumn>
    <tableColumn id="4" xr3:uid="{279FBF0F-CFE0-4DA0-9A54-55D283AFB70D}" name="Corner house current " dataDxfId="126">
      <calculatedColumnFormula>Typos!W4</calculatedColumnFormula>
    </tableColumn>
    <tableColumn id="5" xr3:uid="{94E50C22-959D-4EBE-877F-EF4DC829A422}" name="Corner house renovated " dataDxfId="125">
      <calculatedColumnFormula>Typos!AD4</calculatedColumnFormula>
    </tableColumn>
    <tableColumn id="6" xr3:uid="{7FB2BF36-18FF-4648-9CEA-2DA9F8D33931}" name="Terraced current" dataDxfId="124">
      <calculatedColumnFormula>Typos!AU4</calculatedColumnFormula>
    </tableColumn>
    <tableColumn id="7" xr3:uid="{7BA727D3-55EF-418E-BA21-78DEFFF4AE7E}" name="Terraced renovated" dataDxfId="123">
      <calculatedColumnFormula>Typos!BB4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7FF053-4B3A-417A-A69C-C7B75D45F960}" name="Table76" displayName="Table76" ref="A57:G65" totalsRowCount="1" headerRowDxfId="122" dataDxfId="121">
  <autoFilter ref="A57:G64" xr:uid="{4E7FF053-4B3A-417A-A69C-C7B75D45F960}"/>
  <tableColumns count="7">
    <tableColumn id="1" xr3:uid="{F2C19CEB-BA13-410F-839E-83214524637C}" name="Space heating demand (m3/m2)" totalsRowLabel="Average" dataDxfId="120" totalsRowDxfId="119"/>
    <tableColumn id="2" xr3:uid="{AC338A4E-7B81-43AA-968A-E7328456E700}" name="Appartement current " totalsRowFunction="custom" dataDxfId="118" totalsRowDxfId="117">
      <calculatedColumnFormula>(B49/10.55)*B10</calculatedColumnFormula>
      <totalsRowFormula>AVERAGE(Table76[[Appartement current ]])</totalsRowFormula>
    </tableColumn>
    <tableColumn id="3" xr3:uid="{5FC197DF-7D7B-48C4-8C71-80E686F41046}" name="Appartement renovated" dataDxfId="116" totalsRowDxfId="115">
      <calculatedColumnFormula>C49/10.55</calculatedColumnFormula>
    </tableColumn>
    <tableColumn id="4" xr3:uid="{C0AC63D2-99FF-4E1B-9D38-80EB5F7C5D5F}" name="Corner house current" dataDxfId="114" totalsRowDxfId="113">
      <calculatedColumnFormula>D49/10.55</calculatedColumnFormula>
    </tableColumn>
    <tableColumn id="5" xr3:uid="{6708A946-D2A9-47E5-8876-ACE05CC2A0B1}" name="Corner house renovated" dataDxfId="112" totalsRowDxfId="111">
      <calculatedColumnFormula>E49/10.55</calculatedColumnFormula>
    </tableColumn>
    <tableColumn id="6" xr3:uid="{1C901158-3363-424F-B23E-4A596F1E7DBF}" name="Terraced current" dataDxfId="110" totalsRowDxfId="109">
      <calculatedColumnFormula>F49/10.55</calculatedColumnFormula>
    </tableColumn>
    <tableColumn id="7" xr3:uid="{C05B0802-0AE2-400E-B639-5A296380DCEF}" name="Terraced renovated" dataDxfId="108" totalsRowDxfId="107">
      <calculatedColumnFormula>G49/10.55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9F2483-B604-493F-BBA7-4942EA218929}" name="Table8" displayName="Table8" ref="A12:G15" totalsRowShown="0" headerRowDxfId="106" dataDxfId="105">
  <autoFilter ref="A12:G15" xr:uid="{939F2483-B604-493F-BBA7-4942EA218929}"/>
  <tableColumns count="7">
    <tableColumn id="1" xr3:uid="{858D144C-CBF7-4C68-AEBC-A2F29D56B732}" name="Archetypes" dataDxfId="104"/>
    <tableColumn id="2" xr3:uid="{F38BB326-BE0F-4F3B-A0E9-E73854128A33}" name="Sf conditioned (m2)" dataDxfId="103"/>
    <tableColumn id="3" xr3:uid="{479CC8D2-3924-4D08-BC49-62B5B39BA71E}" name="Ns" dataDxfId="102"/>
    <tableColumn id="4" xr3:uid="{E437A026-7191-4596-AF70-540CA3155766}" name="Outdoor surface area" dataDxfId="101"/>
    <tableColumn id="5" xr3:uid="{EC7F17D7-95F7-42EE-827F-4F22760CD249}" name="Volume" dataDxfId="100"/>
    <tableColumn id="8" xr3:uid="{78A237A2-D3D9-40A4-949D-B98518780846}" name="Floor height" dataDxfId="99"/>
    <tableColumn id="7" xr3:uid="{6518360A-B125-40B4-9728-B72276E86826}" name="Heat Loss Form Factor*" dataDxfId="9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389C0-7BC6-4155-9C36-0554CFA503B6}" name="Table9" displayName="Table9" ref="A1:D10" totalsRowShown="0" headerRowDxfId="97" dataDxfId="96" tableBorderDxfId="95">
  <autoFilter ref="A1:D10" xr:uid="{836389C0-7BC6-4155-9C36-0554CFA503B6}"/>
  <tableColumns count="4">
    <tableColumn id="1" xr3:uid="{AF92FE10-06A9-4E8A-9D8E-19BE0CF8449C}" name="Column1" dataDxfId="94"/>
    <tableColumn id="2" xr3:uid="{C10B4E7A-0930-4050-85CA-A67949222255}" name="Appartment" dataDxfId="93"/>
    <tableColumn id="3" xr3:uid="{42B719F1-291F-46A7-B5E9-3F182F37FA98}" name="Semi-detached" dataDxfId="92"/>
    <tableColumn id="4" xr3:uid="{B05A5219-D150-42C3-ADB2-FA5A6F6F6134}" name="Terraced" dataDxfId="9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C255A-7944-4CFC-87E6-498CF43912A1}" name="Table10" displayName="Table10" ref="E1:F6" totalsRowShown="0" headerRowDxfId="90" dataDxfId="89">
  <autoFilter ref="E1:F6" xr:uid="{770C255A-7944-4CFC-87E6-498CF43912A1}"/>
  <tableColumns count="2">
    <tableColumn id="1" xr3:uid="{AC8E5E86-7302-4EAB-95D2-FCF1246FA608}" name="Protection" dataDxfId="88"/>
    <tableColumn id="2" xr3:uid="{F53258BA-256F-4A15-9365-AB2B9BD08DBA}" name="Count" dataDxfId="8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M60"/>
  <sheetViews>
    <sheetView topLeftCell="A2" workbookViewId="0">
      <selection activeCell="N16" sqref="N16:N21"/>
    </sheetView>
  </sheetViews>
  <sheetFormatPr defaultRowHeight="13.2" x14ac:dyDescent="0.25"/>
  <cols>
    <col min="2" max="2" width="18.5546875" style="36" customWidth="1"/>
    <col min="3" max="3" width="14.44140625" customWidth="1"/>
    <col min="4" max="4" width="16.33203125" customWidth="1"/>
    <col min="5" max="5" width="15.44140625" customWidth="1"/>
    <col min="6" max="6" width="20.44140625" customWidth="1"/>
    <col min="7" max="7" width="14.5546875" customWidth="1"/>
    <col min="8" max="8" width="13.6640625" customWidth="1"/>
    <col min="9" max="9" width="5.88671875" customWidth="1"/>
    <col min="10" max="10" width="8" customWidth="1"/>
    <col min="11" max="11" width="21" customWidth="1"/>
    <col min="12" max="12" width="15.5546875" style="9" customWidth="1"/>
    <col min="13" max="13" width="15.109375" style="9" customWidth="1"/>
    <col min="14" max="14" width="17.33203125" style="9" customWidth="1"/>
    <col min="15" max="15" width="11" customWidth="1"/>
    <col min="16" max="16" width="10.88671875" customWidth="1"/>
    <col min="17" max="17" width="14.109375" customWidth="1"/>
    <col min="18" max="18" width="16.88671875" customWidth="1"/>
    <col min="19" max="19" width="18.5546875" style="36" customWidth="1"/>
    <col min="20" max="20" width="16.5546875" customWidth="1"/>
    <col min="21" max="21" width="15.5546875" customWidth="1"/>
    <col min="22" max="22" width="18.44140625" customWidth="1"/>
    <col min="23" max="23" width="16.6640625" customWidth="1"/>
    <col min="24" max="24" width="15.5546875" customWidth="1"/>
    <col min="25" max="25" width="8" customWidth="1"/>
    <col min="26" max="26" width="10" customWidth="1"/>
    <col min="27" max="27" width="31.109375" customWidth="1"/>
    <col min="28" max="28" width="20.33203125" customWidth="1"/>
    <col min="29" max="29" width="14.88671875" customWidth="1"/>
    <col min="30" max="30" width="10.44140625" customWidth="1"/>
    <col min="31" max="31" width="13" customWidth="1"/>
    <col min="32" max="33" width="14.44140625" customWidth="1"/>
    <col min="34" max="34" width="14" hidden="1" customWidth="1"/>
    <col min="35" max="35" width="18.33203125" hidden="1" customWidth="1"/>
    <col min="36" max="36" width="24.5546875" hidden="1" customWidth="1"/>
    <col min="37" max="37" width="17.88671875" hidden="1" customWidth="1"/>
    <col min="38" max="38" width="10" hidden="1" customWidth="1"/>
    <col min="39" max="39" width="11.6640625" hidden="1" customWidth="1"/>
    <col min="40" max="40" width="9.109375" hidden="1" customWidth="1"/>
    <col min="41" max="41" width="10.6640625" hidden="1" customWidth="1"/>
    <col min="42" max="42" width="8.44140625" hidden="1" customWidth="1"/>
    <col min="43" max="43" width="22.33203125" hidden="1" customWidth="1"/>
    <col min="44" max="44" width="18.5546875" style="36" customWidth="1"/>
    <col min="45" max="45" width="14.6640625" customWidth="1"/>
    <col min="46" max="46" width="15.88671875" customWidth="1"/>
    <col min="48" max="48" width="16.5546875" customWidth="1"/>
    <col min="51" max="51" width="30" customWidth="1"/>
    <col min="52" max="52" width="15" customWidth="1"/>
    <col min="53" max="53" width="16.33203125" customWidth="1"/>
    <col min="58" max="58" width="24.44140625" customWidth="1"/>
    <col min="60" max="60" width="15.33203125" customWidth="1"/>
    <col min="61" max="61" width="25.5546875" customWidth="1"/>
  </cols>
  <sheetData>
    <row r="1" spans="2:57" ht="25.5" customHeight="1" x14ac:dyDescent="0.25">
      <c r="C1" s="130" t="s">
        <v>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T1" s="130" t="s">
        <v>1</v>
      </c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S1" s="136" t="s">
        <v>2</v>
      </c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8"/>
    </row>
    <row r="2" spans="2:57" ht="21.75" customHeight="1" x14ac:dyDescent="0.25">
      <c r="B2" s="53"/>
      <c r="C2" s="124" t="s">
        <v>3</v>
      </c>
      <c r="D2" s="124"/>
      <c r="E2" s="124"/>
      <c r="F2" s="124"/>
      <c r="G2" s="124"/>
      <c r="H2" s="124"/>
      <c r="I2" s="124"/>
      <c r="J2" s="124"/>
      <c r="K2" s="124" t="s">
        <v>4</v>
      </c>
      <c r="L2" s="124"/>
      <c r="M2" s="124"/>
      <c r="N2" s="124"/>
      <c r="O2" s="124"/>
      <c r="P2" s="124"/>
      <c r="Q2" s="124"/>
      <c r="R2" s="124"/>
      <c r="S2" s="53"/>
      <c r="T2" s="124" t="s">
        <v>3</v>
      </c>
      <c r="U2" s="124"/>
      <c r="V2" s="124"/>
      <c r="W2" s="124"/>
      <c r="X2" s="124"/>
      <c r="Y2" s="124"/>
      <c r="Z2" s="51"/>
      <c r="AA2" s="51"/>
      <c r="AB2" s="124" t="s">
        <v>4</v>
      </c>
      <c r="AC2" s="124"/>
      <c r="AD2" s="124"/>
      <c r="AE2" s="124"/>
      <c r="AF2" s="124"/>
      <c r="AG2" s="124"/>
      <c r="AH2" s="124"/>
      <c r="AI2" s="124"/>
      <c r="AR2" s="53"/>
      <c r="AS2" s="124" t="s">
        <v>3</v>
      </c>
      <c r="AT2" s="124"/>
      <c r="AU2" s="124"/>
      <c r="AV2" s="124"/>
      <c r="AW2" s="124"/>
      <c r="AX2" s="124"/>
      <c r="AY2" s="139" t="s">
        <v>4</v>
      </c>
      <c r="AZ2" s="140"/>
      <c r="BA2" s="140"/>
      <c r="BB2" s="140"/>
      <c r="BC2" s="140"/>
      <c r="BD2" s="140"/>
      <c r="BE2" s="141"/>
    </row>
    <row r="3" spans="2:57" ht="49.5" customHeight="1" x14ac:dyDescent="0.25">
      <c r="B3" s="55" t="s">
        <v>5</v>
      </c>
      <c r="C3" s="56" t="s">
        <v>6</v>
      </c>
      <c r="D3" s="56" t="s">
        <v>7</v>
      </c>
      <c r="E3" s="56" t="s">
        <v>8</v>
      </c>
      <c r="F3" s="56" t="s">
        <v>9</v>
      </c>
      <c r="G3" s="56" t="s">
        <v>10</v>
      </c>
      <c r="H3" s="56" t="s">
        <v>11</v>
      </c>
      <c r="I3" s="56" t="s">
        <v>12</v>
      </c>
      <c r="J3" s="56" t="s">
        <v>13</v>
      </c>
      <c r="K3" s="56" t="s">
        <v>14</v>
      </c>
      <c r="L3" s="56" t="s">
        <v>8</v>
      </c>
      <c r="M3" s="56" t="s">
        <v>15</v>
      </c>
      <c r="N3" s="56" t="s">
        <v>16</v>
      </c>
      <c r="O3" s="56" t="s">
        <v>17</v>
      </c>
      <c r="P3" s="57" t="s">
        <v>18</v>
      </c>
      <c r="Q3" s="56" t="s">
        <v>9</v>
      </c>
      <c r="R3" s="55" t="s">
        <v>5</v>
      </c>
      <c r="S3" s="56" t="s">
        <v>6</v>
      </c>
      <c r="T3" s="56" t="s">
        <v>7</v>
      </c>
      <c r="U3" s="56" t="s">
        <v>8</v>
      </c>
      <c r="V3" s="56" t="s">
        <v>9</v>
      </c>
      <c r="W3" s="56" t="s">
        <v>10</v>
      </c>
      <c r="X3" s="56" t="s">
        <v>11</v>
      </c>
      <c r="Y3" s="56" t="s">
        <v>12</v>
      </c>
      <c r="Z3" s="56" t="s">
        <v>13</v>
      </c>
      <c r="AA3" s="56" t="s">
        <v>14</v>
      </c>
      <c r="AB3" s="56" t="s">
        <v>8</v>
      </c>
      <c r="AC3" s="56" t="s">
        <v>15</v>
      </c>
      <c r="AD3" s="56" t="s">
        <v>16</v>
      </c>
      <c r="AE3" s="56" t="s">
        <v>17</v>
      </c>
      <c r="AF3" s="57" t="s">
        <v>18</v>
      </c>
      <c r="AG3" s="56" t="s">
        <v>9</v>
      </c>
      <c r="AH3" s="58"/>
      <c r="AI3" s="58"/>
      <c r="AJ3" s="58"/>
      <c r="AK3" s="58"/>
      <c r="AL3" s="58"/>
      <c r="AM3" s="58"/>
      <c r="AN3" s="58"/>
      <c r="AO3" s="58"/>
      <c r="AP3" s="55" t="s">
        <v>5</v>
      </c>
      <c r="AQ3" s="56" t="s">
        <v>6</v>
      </c>
      <c r="AR3" s="56" t="s">
        <v>7</v>
      </c>
      <c r="AS3" s="56" t="s">
        <v>8</v>
      </c>
      <c r="AT3" s="56" t="s">
        <v>9</v>
      </c>
      <c r="AU3" s="56" t="s">
        <v>10</v>
      </c>
      <c r="AV3" s="56" t="s">
        <v>11</v>
      </c>
      <c r="AW3" s="56" t="s">
        <v>12</v>
      </c>
      <c r="AX3" s="56" t="s">
        <v>13</v>
      </c>
      <c r="AY3" s="56" t="s">
        <v>14</v>
      </c>
      <c r="AZ3" s="56" t="s">
        <v>8</v>
      </c>
      <c r="BA3" s="56" t="s">
        <v>15</v>
      </c>
      <c r="BB3" s="56" t="s">
        <v>16</v>
      </c>
      <c r="BC3" s="56" t="s">
        <v>17</v>
      </c>
      <c r="BD3" s="57" t="s">
        <v>18</v>
      </c>
      <c r="BE3" s="56" t="s">
        <v>9</v>
      </c>
    </row>
    <row r="4" spans="2:57" ht="12.75" customHeight="1" x14ac:dyDescent="0.25">
      <c r="B4" s="128" t="s">
        <v>19</v>
      </c>
      <c r="C4" s="1" t="s">
        <v>20</v>
      </c>
      <c r="D4" s="2" t="s">
        <v>21</v>
      </c>
      <c r="E4" s="3" t="s">
        <v>22</v>
      </c>
      <c r="F4" s="112" t="s">
        <v>23</v>
      </c>
      <c r="G4" s="116">
        <v>156.69999999999999</v>
      </c>
      <c r="H4" s="116">
        <v>1.18</v>
      </c>
      <c r="I4" s="116">
        <v>2</v>
      </c>
      <c r="J4" s="116" t="s">
        <v>24</v>
      </c>
      <c r="K4" s="45" t="s">
        <v>25</v>
      </c>
      <c r="L4" s="18">
        <v>0.7</v>
      </c>
      <c r="M4" s="129">
        <f>(G4-N4)/G4</f>
        <v>0.76515634971282709</v>
      </c>
      <c r="N4" s="116">
        <v>36.799999999999997</v>
      </c>
      <c r="O4" s="131">
        <f>(H4-P4)/H4</f>
        <v>2.5423728813559344E-2</v>
      </c>
      <c r="P4" s="131">
        <v>1.1499999999999999</v>
      </c>
      <c r="Q4" s="109" t="s">
        <v>9</v>
      </c>
      <c r="R4" s="132" t="s">
        <v>19</v>
      </c>
      <c r="S4" s="1" t="s">
        <v>20</v>
      </c>
      <c r="T4" s="2" t="s">
        <v>21</v>
      </c>
      <c r="U4" s="3" t="s">
        <v>26</v>
      </c>
      <c r="V4" s="112" t="s">
        <v>23</v>
      </c>
      <c r="W4" s="114">
        <v>331.28</v>
      </c>
      <c r="X4" s="114">
        <v>5.79</v>
      </c>
      <c r="Y4" s="116">
        <v>8</v>
      </c>
      <c r="Z4" s="116" t="s">
        <v>27</v>
      </c>
      <c r="AA4" s="45" t="s">
        <v>25</v>
      </c>
      <c r="AB4" s="18">
        <v>0.7</v>
      </c>
      <c r="AC4" s="115">
        <f>(W4-AD4)/W4</f>
        <v>0.86132576672301375</v>
      </c>
      <c r="AD4" s="114">
        <v>45.94</v>
      </c>
      <c r="AE4" s="115">
        <f>(X4-AF4)/X4</f>
        <v>0.39550949913644212</v>
      </c>
      <c r="AF4" s="114">
        <v>3.5</v>
      </c>
      <c r="AG4" s="109" t="s">
        <v>9</v>
      </c>
      <c r="AH4" s="41"/>
      <c r="AI4" s="41"/>
      <c r="AJ4" s="41"/>
      <c r="AK4" s="41"/>
      <c r="AL4" s="41"/>
      <c r="AM4" s="41"/>
      <c r="AN4" s="41"/>
      <c r="AO4" s="41"/>
      <c r="AP4" s="132" t="s">
        <v>19</v>
      </c>
      <c r="AQ4" s="1" t="s">
        <v>20</v>
      </c>
      <c r="AR4" s="2" t="s">
        <v>21</v>
      </c>
      <c r="AS4" s="3" t="s">
        <v>26</v>
      </c>
      <c r="AT4" s="112" t="s">
        <v>23</v>
      </c>
      <c r="AU4" s="122">
        <v>237.34</v>
      </c>
      <c r="AV4" s="114">
        <v>4.74</v>
      </c>
      <c r="AW4" s="116">
        <v>15</v>
      </c>
      <c r="AX4" s="116" t="s">
        <v>28</v>
      </c>
      <c r="AY4" s="45" t="s">
        <v>25</v>
      </c>
      <c r="AZ4" s="18">
        <v>0.7</v>
      </c>
      <c r="BA4" s="115">
        <f>(AU4-BB4)/AU4</f>
        <v>0.80576388303699342</v>
      </c>
      <c r="BB4" s="114">
        <v>46.1</v>
      </c>
      <c r="BC4" s="115">
        <f>(AV4-BD4)/AV4</f>
        <v>0.19198312236286921</v>
      </c>
      <c r="BD4" s="122">
        <v>3.83</v>
      </c>
      <c r="BE4" s="109" t="s">
        <v>9</v>
      </c>
    </row>
    <row r="5" spans="2:57" ht="12.75" customHeight="1" x14ac:dyDescent="0.25">
      <c r="B5" s="128"/>
      <c r="C5" s="1" t="s">
        <v>29</v>
      </c>
      <c r="D5" s="2" t="s">
        <v>30</v>
      </c>
      <c r="E5" s="3" t="s">
        <v>31</v>
      </c>
      <c r="F5" s="112"/>
      <c r="G5" s="116"/>
      <c r="H5" s="116"/>
      <c r="I5" s="116"/>
      <c r="J5" s="116"/>
      <c r="K5" s="45" t="s">
        <v>32</v>
      </c>
      <c r="L5" s="18">
        <v>2</v>
      </c>
      <c r="M5" s="129"/>
      <c r="N5" s="116"/>
      <c r="O5" s="131"/>
      <c r="P5" s="131"/>
      <c r="Q5" s="109"/>
      <c r="R5" s="132"/>
      <c r="S5" s="1" t="s">
        <v>29</v>
      </c>
      <c r="T5" s="2" t="s">
        <v>30</v>
      </c>
      <c r="U5" s="3" t="s">
        <v>31</v>
      </c>
      <c r="V5" s="112"/>
      <c r="W5" s="114"/>
      <c r="X5" s="114"/>
      <c r="Y5" s="116"/>
      <c r="Z5" s="116"/>
      <c r="AA5" s="45" t="s">
        <v>32</v>
      </c>
      <c r="AB5" s="18">
        <v>2</v>
      </c>
      <c r="AC5" s="115"/>
      <c r="AD5" s="114"/>
      <c r="AE5" s="115"/>
      <c r="AF5" s="114"/>
      <c r="AG5" s="109"/>
      <c r="AH5" s="41"/>
      <c r="AI5" s="41"/>
      <c r="AJ5" s="41"/>
      <c r="AK5" s="41"/>
      <c r="AL5" s="41"/>
      <c r="AM5" s="41"/>
      <c r="AN5" s="41"/>
      <c r="AO5" s="41"/>
      <c r="AP5" s="132"/>
      <c r="AQ5" s="1" t="s">
        <v>29</v>
      </c>
      <c r="AR5" s="2" t="s">
        <v>30</v>
      </c>
      <c r="AS5" s="3" t="s">
        <v>31</v>
      </c>
      <c r="AT5" s="112"/>
      <c r="AU5" s="122"/>
      <c r="AV5" s="114"/>
      <c r="AW5" s="116"/>
      <c r="AX5" s="116"/>
      <c r="AY5" s="2" t="s">
        <v>30</v>
      </c>
      <c r="AZ5" s="3">
        <v>0.19</v>
      </c>
      <c r="BA5" s="115"/>
      <c r="BB5" s="114"/>
      <c r="BC5" s="115"/>
      <c r="BD5" s="122"/>
      <c r="BE5" s="109"/>
    </row>
    <row r="6" spans="2:57" ht="12.75" customHeight="1" x14ac:dyDescent="0.25">
      <c r="B6" s="128"/>
      <c r="C6" s="1" t="s">
        <v>33</v>
      </c>
      <c r="D6" s="2" t="s">
        <v>30</v>
      </c>
      <c r="E6" s="3" t="s">
        <v>34</v>
      </c>
      <c r="F6" s="112"/>
      <c r="G6" s="116"/>
      <c r="H6" s="116"/>
      <c r="I6" s="116"/>
      <c r="J6" s="116"/>
      <c r="K6" s="45" t="s">
        <v>35</v>
      </c>
      <c r="L6" s="18">
        <v>4</v>
      </c>
      <c r="M6" s="129"/>
      <c r="N6" s="116"/>
      <c r="O6" s="131"/>
      <c r="P6" s="131"/>
      <c r="Q6" s="109"/>
      <c r="R6" s="132"/>
      <c r="S6" s="1" t="s">
        <v>33</v>
      </c>
      <c r="T6" s="2" t="s">
        <v>30</v>
      </c>
      <c r="U6" s="3" t="s">
        <v>34</v>
      </c>
      <c r="V6" s="112"/>
      <c r="W6" s="114"/>
      <c r="X6" s="114"/>
      <c r="Y6" s="116"/>
      <c r="Z6" s="116"/>
      <c r="AA6" s="45" t="s">
        <v>35</v>
      </c>
      <c r="AB6" s="18">
        <v>4</v>
      </c>
      <c r="AC6" s="115"/>
      <c r="AD6" s="114"/>
      <c r="AE6" s="115"/>
      <c r="AF6" s="114"/>
      <c r="AG6" s="109"/>
      <c r="AH6" s="41"/>
      <c r="AI6" s="41"/>
      <c r="AJ6" s="41"/>
      <c r="AK6" s="41"/>
      <c r="AL6" s="41"/>
      <c r="AM6" s="41"/>
      <c r="AN6" s="41"/>
      <c r="AO6" s="41"/>
      <c r="AP6" s="132"/>
      <c r="AQ6" s="1" t="s">
        <v>33</v>
      </c>
      <c r="AR6" s="2" t="s">
        <v>30</v>
      </c>
      <c r="AS6" s="3" t="s">
        <v>34</v>
      </c>
      <c r="AT6" s="112"/>
      <c r="AU6" s="122"/>
      <c r="AV6" s="114"/>
      <c r="AW6" s="116"/>
      <c r="AX6" s="116"/>
      <c r="AY6" s="45" t="s">
        <v>35</v>
      </c>
      <c r="AZ6" s="18">
        <v>4</v>
      </c>
      <c r="BA6" s="115"/>
      <c r="BB6" s="114"/>
      <c r="BC6" s="115"/>
      <c r="BD6" s="122"/>
      <c r="BE6" s="109"/>
    </row>
    <row r="7" spans="2:57" ht="12.75" customHeight="1" x14ac:dyDescent="0.25">
      <c r="B7" s="128"/>
      <c r="C7" s="1" t="s">
        <v>36</v>
      </c>
      <c r="D7" s="2" t="s">
        <v>30</v>
      </c>
      <c r="E7" s="3" t="s">
        <v>37</v>
      </c>
      <c r="F7" s="112"/>
      <c r="G7" s="116"/>
      <c r="H7" s="116"/>
      <c r="I7" s="116"/>
      <c r="J7" s="116"/>
      <c r="K7" s="45" t="s">
        <v>38</v>
      </c>
      <c r="L7" s="18">
        <v>3.5</v>
      </c>
      <c r="M7" s="129"/>
      <c r="N7" s="116"/>
      <c r="O7" s="131"/>
      <c r="P7" s="131"/>
      <c r="Q7" s="109"/>
      <c r="R7" s="132"/>
      <c r="S7" s="1" t="s">
        <v>36</v>
      </c>
      <c r="T7" s="2" t="s">
        <v>30</v>
      </c>
      <c r="U7" s="3" t="s">
        <v>37</v>
      </c>
      <c r="V7" s="112"/>
      <c r="W7" s="114"/>
      <c r="X7" s="114"/>
      <c r="Y7" s="116"/>
      <c r="Z7" s="116"/>
      <c r="AA7" s="45" t="s">
        <v>38</v>
      </c>
      <c r="AB7" s="18">
        <v>3.5</v>
      </c>
      <c r="AC7" s="115"/>
      <c r="AD7" s="114"/>
      <c r="AE7" s="115"/>
      <c r="AF7" s="114"/>
      <c r="AG7" s="109"/>
      <c r="AH7" s="41"/>
      <c r="AI7" s="41"/>
      <c r="AJ7" s="41"/>
      <c r="AK7" s="41"/>
      <c r="AL7" s="41"/>
      <c r="AM7" s="41"/>
      <c r="AN7" s="41"/>
      <c r="AO7" s="41"/>
      <c r="AP7" s="132"/>
      <c r="AQ7" s="1" t="s">
        <v>36</v>
      </c>
      <c r="AR7" s="2" t="s">
        <v>30</v>
      </c>
      <c r="AS7" s="3" t="s">
        <v>37</v>
      </c>
      <c r="AT7" s="112"/>
      <c r="AU7" s="122"/>
      <c r="AV7" s="114"/>
      <c r="AW7" s="116"/>
      <c r="AX7" s="116"/>
      <c r="AY7" s="45" t="s">
        <v>38</v>
      </c>
      <c r="AZ7" s="18">
        <v>3.5</v>
      </c>
      <c r="BA7" s="115"/>
      <c r="BB7" s="114"/>
      <c r="BC7" s="115"/>
      <c r="BD7" s="122"/>
      <c r="BE7" s="109"/>
    </row>
    <row r="8" spans="2:57" ht="12.75" customHeight="1" x14ac:dyDescent="0.25">
      <c r="B8" s="128"/>
      <c r="C8" s="1" t="s">
        <v>39</v>
      </c>
      <c r="D8" s="1" t="s">
        <v>40</v>
      </c>
      <c r="E8" s="5">
        <v>6.9999999999999999E-4</v>
      </c>
      <c r="F8" s="112"/>
      <c r="G8" s="116"/>
      <c r="H8" s="116"/>
      <c r="I8" s="116"/>
      <c r="J8" s="116"/>
      <c r="K8" s="45" t="s">
        <v>41</v>
      </c>
      <c r="L8" s="19">
        <v>5.0000000000000001E-4</v>
      </c>
      <c r="M8" s="129"/>
      <c r="N8" s="116"/>
      <c r="O8" s="131"/>
      <c r="P8" s="131"/>
      <c r="Q8" s="109"/>
      <c r="R8" s="132"/>
      <c r="S8" s="1" t="s">
        <v>39</v>
      </c>
      <c r="T8" s="1" t="s">
        <v>40</v>
      </c>
      <c r="U8" s="5">
        <v>6.9999999999999999E-4</v>
      </c>
      <c r="V8" s="112"/>
      <c r="W8" s="114"/>
      <c r="X8" s="114"/>
      <c r="Y8" s="116"/>
      <c r="Z8" s="116"/>
      <c r="AA8" s="45" t="s">
        <v>42</v>
      </c>
      <c r="AB8" s="19">
        <v>2.9999999999999997E-4</v>
      </c>
      <c r="AC8" s="115"/>
      <c r="AD8" s="114"/>
      <c r="AE8" s="115"/>
      <c r="AF8" s="114"/>
      <c r="AG8" s="109"/>
      <c r="AH8" s="41"/>
      <c r="AI8" s="41"/>
      <c r="AJ8" s="41"/>
      <c r="AK8" s="41"/>
      <c r="AL8" s="41"/>
      <c r="AM8" s="41"/>
      <c r="AN8" s="41"/>
      <c r="AO8" s="41"/>
      <c r="AP8" s="132"/>
      <c r="AQ8" s="1" t="s">
        <v>39</v>
      </c>
      <c r="AR8" s="1" t="s">
        <v>40</v>
      </c>
      <c r="AS8" s="5">
        <v>6.9999999999999999E-4</v>
      </c>
      <c r="AT8" s="112"/>
      <c r="AU8" s="122"/>
      <c r="AV8" s="114"/>
      <c r="AW8" s="116"/>
      <c r="AX8" s="116"/>
      <c r="AY8" s="45" t="s">
        <v>42</v>
      </c>
      <c r="AZ8" s="19">
        <v>2.9999999999999997E-4</v>
      </c>
      <c r="BA8" s="115"/>
      <c r="BB8" s="114"/>
      <c r="BC8" s="115"/>
      <c r="BD8" s="122"/>
      <c r="BE8" s="109"/>
    </row>
    <row r="9" spans="2:57" ht="14.25" customHeight="1" x14ac:dyDescent="0.25">
      <c r="B9" s="128"/>
      <c r="C9" s="1" t="s">
        <v>43</v>
      </c>
      <c r="D9" s="110" t="s">
        <v>44</v>
      </c>
      <c r="E9" s="110"/>
      <c r="F9" s="112"/>
      <c r="G9" s="116"/>
      <c r="H9" s="116"/>
      <c r="I9" s="116"/>
      <c r="J9" s="116"/>
      <c r="K9" s="111" t="s">
        <v>45</v>
      </c>
      <c r="L9" s="111"/>
      <c r="M9" s="129"/>
      <c r="N9" s="116"/>
      <c r="O9" s="131"/>
      <c r="P9" s="131"/>
      <c r="Q9" s="109"/>
      <c r="R9" s="132"/>
      <c r="S9" s="1" t="s">
        <v>43</v>
      </c>
      <c r="T9" s="110" t="s">
        <v>44</v>
      </c>
      <c r="U9" s="110"/>
      <c r="V9" s="112"/>
      <c r="W9" s="114"/>
      <c r="X9" s="114"/>
      <c r="Y9" s="116"/>
      <c r="Z9" s="116"/>
      <c r="AA9" s="111" t="s">
        <v>46</v>
      </c>
      <c r="AB9" s="111"/>
      <c r="AC9" s="115"/>
      <c r="AD9" s="114"/>
      <c r="AE9" s="115"/>
      <c r="AF9" s="114"/>
      <c r="AG9" s="109"/>
      <c r="AH9" s="41"/>
      <c r="AI9" s="41"/>
      <c r="AJ9" s="41"/>
      <c r="AK9" s="41"/>
      <c r="AL9" s="41"/>
      <c r="AM9" s="41"/>
      <c r="AN9" s="41"/>
      <c r="AO9" s="41"/>
      <c r="AP9" s="132"/>
      <c r="AQ9" s="1" t="s">
        <v>43</v>
      </c>
      <c r="AR9" s="110" t="s">
        <v>44</v>
      </c>
      <c r="AS9" s="110"/>
      <c r="AT9" s="112"/>
      <c r="AU9" s="122"/>
      <c r="AV9" s="114"/>
      <c r="AW9" s="116"/>
      <c r="AX9" s="116"/>
      <c r="AY9" s="111" t="s">
        <v>46</v>
      </c>
      <c r="AZ9" s="111"/>
      <c r="BA9" s="115"/>
      <c r="BB9" s="114"/>
      <c r="BC9" s="115"/>
      <c r="BD9" s="122"/>
      <c r="BE9" s="109"/>
    </row>
    <row r="10" spans="2:57" x14ac:dyDescent="0.25">
      <c r="B10" s="128" t="s">
        <v>47</v>
      </c>
      <c r="C10" s="1" t="s">
        <v>20</v>
      </c>
      <c r="D10" s="2" t="s">
        <v>21</v>
      </c>
      <c r="E10" s="3" t="s">
        <v>22</v>
      </c>
      <c r="F10" s="112" t="s">
        <v>23</v>
      </c>
      <c r="G10" s="116">
        <v>156.69999999999999</v>
      </c>
      <c r="H10" s="116">
        <v>1.18</v>
      </c>
      <c r="I10" s="116">
        <v>1</v>
      </c>
      <c r="J10" s="116" t="s">
        <v>48</v>
      </c>
      <c r="K10" s="45" t="s">
        <v>49</v>
      </c>
      <c r="L10" s="18">
        <v>1.1000000000000001</v>
      </c>
      <c r="M10" s="129">
        <f>(G10-N10)/G10</f>
        <v>0.7855775366943204</v>
      </c>
      <c r="N10" s="116">
        <v>33.6</v>
      </c>
      <c r="O10" s="131">
        <f>(H10-P10)/H10</f>
        <v>2.5423728813559344E-2</v>
      </c>
      <c r="P10" s="131">
        <v>1.1499999999999999</v>
      </c>
      <c r="Q10" s="109" t="s">
        <v>9</v>
      </c>
      <c r="R10" s="132" t="s">
        <v>47</v>
      </c>
      <c r="S10" s="1" t="s">
        <v>20</v>
      </c>
      <c r="T10" s="2" t="s">
        <v>21</v>
      </c>
      <c r="U10" s="3" t="s">
        <v>26</v>
      </c>
      <c r="V10" s="112" t="s">
        <v>23</v>
      </c>
      <c r="W10" s="114">
        <v>331.28</v>
      </c>
      <c r="X10" s="114">
        <v>5.79</v>
      </c>
      <c r="Y10" s="116">
        <v>9</v>
      </c>
      <c r="Z10" s="116" t="s">
        <v>50</v>
      </c>
      <c r="AA10" s="45" t="s">
        <v>49</v>
      </c>
      <c r="AB10" s="18">
        <v>1.1000000000000001</v>
      </c>
      <c r="AC10" s="115">
        <f>(W10-AD10)/W10</f>
        <v>0.85797512678097076</v>
      </c>
      <c r="AD10" s="114">
        <v>47.05</v>
      </c>
      <c r="AE10" s="115">
        <f>(X10-AF10)/X10</f>
        <v>0.41623488773747841</v>
      </c>
      <c r="AF10" s="118">
        <v>3.38</v>
      </c>
      <c r="AG10" s="109" t="s">
        <v>9</v>
      </c>
      <c r="AH10" s="41"/>
      <c r="AI10" s="41"/>
      <c r="AJ10" s="41"/>
      <c r="AK10" s="41"/>
      <c r="AL10" s="41"/>
      <c r="AM10" s="41"/>
      <c r="AN10" s="41"/>
      <c r="AO10" s="41"/>
      <c r="AP10" s="132" t="s">
        <v>47</v>
      </c>
      <c r="AQ10" s="1" t="s">
        <v>20</v>
      </c>
      <c r="AR10" s="2" t="s">
        <v>21</v>
      </c>
      <c r="AS10" s="3" t="s">
        <v>26</v>
      </c>
      <c r="AT10" s="112" t="s">
        <v>23</v>
      </c>
      <c r="AU10" s="122">
        <v>237.34</v>
      </c>
      <c r="AV10" s="114">
        <v>4.74</v>
      </c>
      <c r="AW10" s="116">
        <v>16</v>
      </c>
      <c r="AX10" s="116" t="s">
        <v>50</v>
      </c>
      <c r="AY10" s="45" t="s">
        <v>49</v>
      </c>
      <c r="AZ10" s="18">
        <v>1.1000000000000001</v>
      </c>
      <c r="BA10" s="115">
        <f>(AU10-BB10)/AU10</f>
        <v>0.88826156568635706</v>
      </c>
      <c r="BB10" s="114">
        <v>26.52</v>
      </c>
      <c r="BC10" s="115">
        <f>(AV10-BD10)/AV10</f>
        <v>0.3122362869198313</v>
      </c>
      <c r="BD10" s="108">
        <v>3.26</v>
      </c>
      <c r="BE10" s="109" t="s">
        <v>9</v>
      </c>
    </row>
    <row r="11" spans="2:57" x14ac:dyDescent="0.25">
      <c r="B11" s="128"/>
      <c r="C11" s="1" t="s">
        <v>29</v>
      </c>
      <c r="D11" s="2" t="s">
        <v>30</v>
      </c>
      <c r="E11" s="3" t="s">
        <v>31</v>
      </c>
      <c r="F11" s="112"/>
      <c r="G11" s="116"/>
      <c r="H11" s="116"/>
      <c r="I11" s="116"/>
      <c r="J11" s="116"/>
      <c r="K11" s="45" t="s">
        <v>51</v>
      </c>
      <c r="L11" s="18">
        <v>3</v>
      </c>
      <c r="M11" s="129"/>
      <c r="N11" s="116"/>
      <c r="O11" s="131"/>
      <c r="P11" s="131"/>
      <c r="Q11" s="109"/>
      <c r="R11" s="132"/>
      <c r="S11" s="1" t="s">
        <v>29</v>
      </c>
      <c r="T11" s="2" t="s">
        <v>30</v>
      </c>
      <c r="U11" s="3" t="s">
        <v>31</v>
      </c>
      <c r="V11" s="112"/>
      <c r="W11" s="114"/>
      <c r="X11" s="114"/>
      <c r="Y11" s="116"/>
      <c r="Z11" s="116"/>
      <c r="AA11" s="45" t="s">
        <v>51</v>
      </c>
      <c r="AB11" s="18">
        <v>3</v>
      </c>
      <c r="AC11" s="115"/>
      <c r="AD11" s="114"/>
      <c r="AE11" s="115"/>
      <c r="AF11" s="118"/>
      <c r="AG11" s="109"/>
      <c r="AH11" s="41"/>
      <c r="AI11" s="41"/>
      <c r="AJ11" s="41"/>
      <c r="AK11" s="41"/>
      <c r="AL11" s="41"/>
      <c r="AM11" s="41"/>
      <c r="AN11" s="41"/>
      <c r="AO11" s="41"/>
      <c r="AP11" s="132"/>
      <c r="AQ11" s="1" t="s">
        <v>29</v>
      </c>
      <c r="AR11" s="2" t="s">
        <v>30</v>
      </c>
      <c r="AS11" s="3" t="s">
        <v>31</v>
      </c>
      <c r="AT11" s="112"/>
      <c r="AU11" s="122"/>
      <c r="AV11" s="114"/>
      <c r="AW11" s="116"/>
      <c r="AX11" s="116"/>
      <c r="AY11" s="45" t="s">
        <v>51</v>
      </c>
      <c r="AZ11" s="18">
        <v>3</v>
      </c>
      <c r="BA11" s="115"/>
      <c r="BB11" s="114"/>
      <c r="BC11" s="115"/>
      <c r="BD11" s="108"/>
      <c r="BE11" s="109"/>
    </row>
    <row r="12" spans="2:57" x14ac:dyDescent="0.25">
      <c r="B12" s="128"/>
      <c r="C12" s="1" t="s">
        <v>33</v>
      </c>
      <c r="D12" s="2" t="s">
        <v>30</v>
      </c>
      <c r="E12" s="3" t="s">
        <v>34</v>
      </c>
      <c r="F12" s="112"/>
      <c r="G12" s="116"/>
      <c r="H12" s="116"/>
      <c r="I12" s="116"/>
      <c r="J12" s="116"/>
      <c r="K12" s="45" t="s">
        <v>35</v>
      </c>
      <c r="L12" s="18">
        <v>4</v>
      </c>
      <c r="M12" s="129"/>
      <c r="N12" s="116"/>
      <c r="O12" s="131"/>
      <c r="P12" s="131"/>
      <c r="Q12" s="109"/>
      <c r="R12" s="132"/>
      <c r="S12" s="1" t="s">
        <v>33</v>
      </c>
      <c r="T12" s="2" t="s">
        <v>30</v>
      </c>
      <c r="U12" s="3" t="s">
        <v>34</v>
      </c>
      <c r="V12" s="112"/>
      <c r="W12" s="114"/>
      <c r="X12" s="114"/>
      <c r="Y12" s="116"/>
      <c r="Z12" s="116"/>
      <c r="AA12" s="45" t="s">
        <v>35</v>
      </c>
      <c r="AB12" s="18">
        <v>4</v>
      </c>
      <c r="AC12" s="115"/>
      <c r="AD12" s="114"/>
      <c r="AE12" s="115"/>
      <c r="AF12" s="118"/>
      <c r="AG12" s="109"/>
      <c r="AH12" s="41"/>
      <c r="AI12" s="41"/>
      <c r="AJ12" s="41"/>
      <c r="AK12" s="41"/>
      <c r="AL12" s="41"/>
      <c r="AM12" s="41"/>
      <c r="AN12" s="41"/>
      <c r="AO12" s="41"/>
      <c r="AP12" s="132"/>
      <c r="AQ12" s="1" t="s">
        <v>33</v>
      </c>
      <c r="AR12" s="2" t="s">
        <v>30</v>
      </c>
      <c r="AS12" s="3" t="s">
        <v>34</v>
      </c>
      <c r="AT12" s="112"/>
      <c r="AU12" s="122"/>
      <c r="AV12" s="114"/>
      <c r="AW12" s="116"/>
      <c r="AX12" s="116"/>
      <c r="AY12" s="45" t="s">
        <v>35</v>
      </c>
      <c r="AZ12" s="18">
        <v>4</v>
      </c>
      <c r="BA12" s="115"/>
      <c r="BB12" s="114"/>
      <c r="BC12" s="115"/>
      <c r="BD12" s="108"/>
      <c r="BE12" s="109"/>
    </row>
    <row r="13" spans="2:57" x14ac:dyDescent="0.25">
      <c r="B13" s="128"/>
      <c r="C13" s="1" t="s">
        <v>36</v>
      </c>
      <c r="D13" s="2" t="s">
        <v>30</v>
      </c>
      <c r="E13" s="3" t="s">
        <v>37</v>
      </c>
      <c r="F13" s="112"/>
      <c r="G13" s="116"/>
      <c r="H13" s="116"/>
      <c r="I13" s="116"/>
      <c r="J13" s="116"/>
      <c r="K13" s="45" t="s">
        <v>38</v>
      </c>
      <c r="L13" s="18">
        <v>3.5</v>
      </c>
      <c r="M13" s="129"/>
      <c r="N13" s="116"/>
      <c r="O13" s="131"/>
      <c r="P13" s="131"/>
      <c r="Q13" s="109"/>
      <c r="R13" s="132"/>
      <c r="S13" s="1" t="s">
        <v>36</v>
      </c>
      <c r="T13" s="2" t="s">
        <v>30</v>
      </c>
      <c r="U13" s="3" t="s">
        <v>37</v>
      </c>
      <c r="V13" s="112"/>
      <c r="W13" s="114"/>
      <c r="X13" s="114"/>
      <c r="Y13" s="116"/>
      <c r="Z13" s="116"/>
      <c r="AA13" s="45" t="s">
        <v>38</v>
      </c>
      <c r="AB13" s="18">
        <v>3.5</v>
      </c>
      <c r="AC13" s="115"/>
      <c r="AD13" s="114"/>
      <c r="AE13" s="115"/>
      <c r="AF13" s="118"/>
      <c r="AG13" s="109"/>
      <c r="AH13" s="41"/>
      <c r="AI13" s="41"/>
      <c r="AJ13" s="41"/>
      <c r="AK13" s="41"/>
      <c r="AL13" s="41"/>
      <c r="AM13" s="41"/>
      <c r="AN13" s="41"/>
      <c r="AO13" s="41"/>
      <c r="AP13" s="132"/>
      <c r="AQ13" s="1" t="s">
        <v>36</v>
      </c>
      <c r="AR13" s="2" t="s">
        <v>30</v>
      </c>
      <c r="AS13" s="3" t="s">
        <v>37</v>
      </c>
      <c r="AT13" s="112"/>
      <c r="AU13" s="122"/>
      <c r="AV13" s="114"/>
      <c r="AW13" s="116"/>
      <c r="AX13" s="116"/>
      <c r="AY13" s="45" t="s">
        <v>38</v>
      </c>
      <c r="AZ13" s="18">
        <v>3.5</v>
      </c>
      <c r="BA13" s="115"/>
      <c r="BB13" s="114"/>
      <c r="BC13" s="115"/>
      <c r="BD13" s="108"/>
      <c r="BE13" s="109"/>
    </row>
    <row r="14" spans="2:57" x14ac:dyDescent="0.25">
      <c r="B14" s="128"/>
      <c r="C14" s="1" t="s">
        <v>39</v>
      </c>
      <c r="D14" s="1" t="s">
        <v>40</v>
      </c>
      <c r="E14" s="5">
        <v>6.9999999999999999E-4</v>
      </c>
      <c r="F14" s="112"/>
      <c r="G14" s="116"/>
      <c r="H14" s="116"/>
      <c r="I14" s="116"/>
      <c r="J14" s="116"/>
      <c r="K14" s="45" t="s">
        <v>41</v>
      </c>
      <c r="L14" s="19">
        <v>5.0000000000000001E-4</v>
      </c>
      <c r="M14" s="129"/>
      <c r="N14" s="116"/>
      <c r="O14" s="131"/>
      <c r="P14" s="131"/>
      <c r="Q14" s="109"/>
      <c r="R14" s="132"/>
      <c r="S14" s="1" t="s">
        <v>39</v>
      </c>
      <c r="T14" s="1" t="s">
        <v>40</v>
      </c>
      <c r="U14" s="5">
        <v>6.9999999999999999E-4</v>
      </c>
      <c r="V14" s="112"/>
      <c r="W14" s="114"/>
      <c r="X14" s="114"/>
      <c r="Y14" s="116"/>
      <c r="Z14" s="116"/>
      <c r="AA14" s="45" t="s">
        <v>42</v>
      </c>
      <c r="AB14" s="19">
        <v>2.9999999999999997E-4</v>
      </c>
      <c r="AC14" s="115"/>
      <c r="AD14" s="114"/>
      <c r="AE14" s="115"/>
      <c r="AF14" s="118"/>
      <c r="AG14" s="109"/>
      <c r="AH14" s="41"/>
      <c r="AI14" s="41"/>
      <c r="AJ14" s="41"/>
      <c r="AK14" s="41"/>
      <c r="AL14" s="41"/>
      <c r="AM14" s="41"/>
      <c r="AN14" s="41"/>
      <c r="AO14" s="41"/>
      <c r="AP14" s="132"/>
      <c r="AQ14" s="1" t="s">
        <v>39</v>
      </c>
      <c r="AR14" s="1" t="s">
        <v>40</v>
      </c>
      <c r="AS14" s="5">
        <v>6.9999999999999999E-4</v>
      </c>
      <c r="AT14" s="112"/>
      <c r="AU14" s="122"/>
      <c r="AV14" s="114"/>
      <c r="AW14" s="116"/>
      <c r="AX14" s="116"/>
      <c r="AY14" s="45" t="s">
        <v>42</v>
      </c>
      <c r="AZ14" s="19">
        <v>2.9999999999999997E-4</v>
      </c>
      <c r="BA14" s="115"/>
      <c r="BB14" s="114"/>
      <c r="BC14" s="115"/>
      <c r="BD14" s="108"/>
      <c r="BE14" s="109"/>
    </row>
    <row r="15" spans="2:57" ht="14.25" customHeight="1" x14ac:dyDescent="0.25">
      <c r="B15" s="128"/>
      <c r="C15" s="1" t="s">
        <v>43</v>
      </c>
      <c r="D15" s="110" t="s">
        <v>44</v>
      </c>
      <c r="E15" s="110"/>
      <c r="F15" s="112"/>
      <c r="G15" s="116"/>
      <c r="H15" s="116"/>
      <c r="I15" s="116"/>
      <c r="J15" s="116"/>
      <c r="K15" s="111" t="s">
        <v>45</v>
      </c>
      <c r="L15" s="111"/>
      <c r="M15" s="129"/>
      <c r="N15" s="116"/>
      <c r="O15" s="131"/>
      <c r="P15" s="131"/>
      <c r="Q15" s="109"/>
      <c r="R15" s="132"/>
      <c r="S15" s="1" t="s">
        <v>43</v>
      </c>
      <c r="T15" s="110" t="s">
        <v>44</v>
      </c>
      <c r="U15" s="110"/>
      <c r="V15" s="112"/>
      <c r="W15" s="114"/>
      <c r="X15" s="114"/>
      <c r="Y15" s="116"/>
      <c r="Z15" s="116"/>
      <c r="AA15" s="111" t="s">
        <v>46</v>
      </c>
      <c r="AB15" s="111"/>
      <c r="AC15" s="115"/>
      <c r="AD15" s="114"/>
      <c r="AE15" s="115"/>
      <c r="AF15" s="118"/>
      <c r="AG15" s="109"/>
      <c r="AH15" s="41"/>
      <c r="AI15" s="41"/>
      <c r="AJ15" s="41"/>
      <c r="AK15" s="41"/>
      <c r="AL15" s="41"/>
      <c r="AM15" s="41"/>
      <c r="AN15" s="41"/>
      <c r="AO15" s="41"/>
      <c r="AP15" s="132"/>
      <c r="AQ15" s="1" t="s">
        <v>43</v>
      </c>
      <c r="AR15" s="110" t="s">
        <v>44</v>
      </c>
      <c r="AS15" s="110"/>
      <c r="AT15" s="112"/>
      <c r="AU15" s="122"/>
      <c r="AV15" s="114"/>
      <c r="AW15" s="116"/>
      <c r="AX15" s="116"/>
      <c r="AY15" s="111" t="s">
        <v>46</v>
      </c>
      <c r="AZ15" s="111"/>
      <c r="BA15" s="115"/>
      <c r="BB15" s="114"/>
      <c r="BC15" s="115"/>
      <c r="BD15" s="108"/>
      <c r="BE15" s="109"/>
    </row>
    <row r="16" spans="2:57" x14ac:dyDescent="0.25">
      <c r="B16" s="128" t="s">
        <v>52</v>
      </c>
      <c r="C16" s="1" t="s">
        <v>20</v>
      </c>
      <c r="D16" s="2" t="s">
        <v>53</v>
      </c>
      <c r="E16" s="7" t="s">
        <v>54</v>
      </c>
      <c r="F16" s="112" t="s">
        <v>23</v>
      </c>
      <c r="G16" s="116">
        <v>110.7</v>
      </c>
      <c r="H16" s="116">
        <v>1.1000000000000001</v>
      </c>
      <c r="I16" s="116">
        <v>3</v>
      </c>
      <c r="J16" s="116" t="s">
        <v>48</v>
      </c>
      <c r="K16" s="45" t="s">
        <v>49</v>
      </c>
      <c r="L16" s="18">
        <v>1.1000000000000001</v>
      </c>
      <c r="M16" s="129">
        <f>(G16-N16)/G16</f>
        <v>0.6964769647696476</v>
      </c>
      <c r="N16" s="116">
        <v>33.6</v>
      </c>
      <c r="O16" s="134">
        <f>(H16-P16)/H16</f>
        <v>-4.5454545454545289E-2</v>
      </c>
      <c r="P16" s="131">
        <v>1.1499999999999999</v>
      </c>
      <c r="Q16" s="109" t="s">
        <v>9</v>
      </c>
      <c r="R16" s="132" t="s">
        <v>52</v>
      </c>
      <c r="S16" s="1" t="s">
        <v>20</v>
      </c>
      <c r="T16" s="2" t="s">
        <v>53</v>
      </c>
      <c r="U16" s="7" t="s">
        <v>54</v>
      </c>
      <c r="V16" s="112" t="s">
        <v>23</v>
      </c>
      <c r="W16" s="114">
        <v>256.57</v>
      </c>
      <c r="X16" s="114">
        <v>4.83</v>
      </c>
      <c r="Y16" s="116">
        <v>10</v>
      </c>
      <c r="Z16" s="116" t="s">
        <v>50</v>
      </c>
      <c r="AA16" s="45" t="s">
        <v>49</v>
      </c>
      <c r="AB16" s="18">
        <v>1.1000000000000001</v>
      </c>
      <c r="AC16" s="115">
        <f>(W16-AD16)/W16</f>
        <v>0.81661924620961135</v>
      </c>
      <c r="AD16" s="114">
        <v>47.05</v>
      </c>
      <c r="AE16" s="115">
        <f>(X16-AF16)/X16</f>
        <v>0.30020703933747417</v>
      </c>
      <c r="AF16" s="118">
        <v>3.38</v>
      </c>
      <c r="AG16" s="109" t="s">
        <v>9</v>
      </c>
      <c r="AH16" s="41"/>
      <c r="AI16" s="41"/>
      <c r="AJ16" s="41"/>
      <c r="AK16" s="41"/>
      <c r="AL16" s="41"/>
      <c r="AM16" s="41"/>
      <c r="AN16" s="41"/>
      <c r="AO16" s="41"/>
      <c r="AP16" s="132" t="s">
        <v>52</v>
      </c>
      <c r="AQ16" s="1" t="s">
        <v>20</v>
      </c>
      <c r="AR16" s="2" t="s">
        <v>53</v>
      </c>
      <c r="AS16" s="7" t="s">
        <v>54</v>
      </c>
      <c r="AT16" s="112" t="s">
        <v>23</v>
      </c>
      <c r="AU16" s="122">
        <v>177.44</v>
      </c>
      <c r="AV16" s="114">
        <v>4.04</v>
      </c>
      <c r="AW16" s="116">
        <v>17</v>
      </c>
      <c r="AX16" s="116" t="s">
        <v>55</v>
      </c>
      <c r="AY16" s="45" t="s">
        <v>49</v>
      </c>
      <c r="AZ16" s="18">
        <v>1.1000000000000001</v>
      </c>
      <c r="BA16" s="115">
        <f>(AU16-BB16)/AU16</f>
        <v>0.76313119927862938</v>
      </c>
      <c r="BB16" s="114">
        <v>42.03</v>
      </c>
      <c r="BC16" s="115">
        <f>(AV16-BD16)/AV16</f>
        <v>0.11386138613861385</v>
      </c>
      <c r="BD16" s="108">
        <v>3.58</v>
      </c>
      <c r="BE16" s="109" t="s">
        <v>9</v>
      </c>
    </row>
    <row r="17" spans="2:65" x14ac:dyDescent="0.25">
      <c r="B17" s="128"/>
      <c r="C17" s="1" t="s">
        <v>29</v>
      </c>
      <c r="D17" s="2" t="s">
        <v>56</v>
      </c>
      <c r="E17" s="7" t="s">
        <v>57</v>
      </c>
      <c r="F17" s="112"/>
      <c r="G17" s="116"/>
      <c r="H17" s="116"/>
      <c r="I17" s="116"/>
      <c r="J17" s="116"/>
      <c r="K17" s="45" t="s">
        <v>51</v>
      </c>
      <c r="L17" s="18">
        <v>3</v>
      </c>
      <c r="M17" s="129"/>
      <c r="N17" s="116"/>
      <c r="O17" s="134"/>
      <c r="P17" s="131"/>
      <c r="Q17" s="109"/>
      <c r="R17" s="132"/>
      <c r="S17" s="1" t="s">
        <v>29</v>
      </c>
      <c r="T17" s="2" t="s">
        <v>56</v>
      </c>
      <c r="U17" s="7" t="s">
        <v>57</v>
      </c>
      <c r="V17" s="112"/>
      <c r="W17" s="114"/>
      <c r="X17" s="114"/>
      <c r="Y17" s="116"/>
      <c r="Z17" s="116"/>
      <c r="AA17" s="45" t="s">
        <v>51</v>
      </c>
      <c r="AB17" s="18">
        <v>3</v>
      </c>
      <c r="AC17" s="115"/>
      <c r="AD17" s="114"/>
      <c r="AE17" s="115"/>
      <c r="AF17" s="118"/>
      <c r="AG17" s="109"/>
      <c r="AH17" s="41"/>
      <c r="AI17" s="41"/>
      <c r="AJ17" s="41"/>
      <c r="AK17" s="41"/>
      <c r="AL17" s="41"/>
      <c r="AM17" s="41"/>
      <c r="AN17" s="41"/>
      <c r="AO17" s="41"/>
      <c r="AP17" s="132"/>
      <c r="AQ17" s="1" t="s">
        <v>29</v>
      </c>
      <c r="AR17" s="2" t="s">
        <v>56</v>
      </c>
      <c r="AS17" s="7" t="s">
        <v>57</v>
      </c>
      <c r="AT17" s="112"/>
      <c r="AU17" s="122"/>
      <c r="AV17" s="114"/>
      <c r="AW17" s="116"/>
      <c r="AX17" s="116"/>
      <c r="AY17" s="2" t="s">
        <v>56</v>
      </c>
      <c r="AZ17" s="7">
        <v>0.36</v>
      </c>
      <c r="BA17" s="115"/>
      <c r="BB17" s="114"/>
      <c r="BC17" s="115"/>
      <c r="BD17" s="108"/>
      <c r="BE17" s="109"/>
    </row>
    <row r="18" spans="2:65" x14ac:dyDescent="0.25">
      <c r="B18" s="128"/>
      <c r="C18" s="1" t="s">
        <v>33</v>
      </c>
      <c r="D18" s="2" t="s">
        <v>56</v>
      </c>
      <c r="E18" s="7" t="s">
        <v>58</v>
      </c>
      <c r="F18" s="112"/>
      <c r="G18" s="116"/>
      <c r="H18" s="116"/>
      <c r="I18" s="116"/>
      <c r="J18" s="116"/>
      <c r="K18" s="45" t="s">
        <v>35</v>
      </c>
      <c r="L18" s="18">
        <v>4</v>
      </c>
      <c r="M18" s="129"/>
      <c r="N18" s="116"/>
      <c r="O18" s="134"/>
      <c r="P18" s="131"/>
      <c r="Q18" s="109"/>
      <c r="R18" s="132"/>
      <c r="S18" s="1" t="s">
        <v>33</v>
      </c>
      <c r="T18" s="2" t="s">
        <v>56</v>
      </c>
      <c r="U18" s="7" t="s">
        <v>58</v>
      </c>
      <c r="V18" s="112"/>
      <c r="W18" s="114"/>
      <c r="X18" s="114"/>
      <c r="Y18" s="116"/>
      <c r="Z18" s="116"/>
      <c r="AA18" s="45" t="s">
        <v>35</v>
      </c>
      <c r="AB18" s="18">
        <v>4</v>
      </c>
      <c r="AC18" s="115"/>
      <c r="AD18" s="114"/>
      <c r="AE18" s="115"/>
      <c r="AF18" s="118"/>
      <c r="AG18" s="109"/>
      <c r="AH18" s="41"/>
      <c r="AI18" s="41"/>
      <c r="AJ18" s="41"/>
      <c r="AK18" s="41"/>
      <c r="AL18" s="41"/>
      <c r="AM18" s="41"/>
      <c r="AN18" s="41"/>
      <c r="AO18" s="41"/>
      <c r="AP18" s="132"/>
      <c r="AQ18" s="1" t="s">
        <v>33</v>
      </c>
      <c r="AR18" s="2" t="s">
        <v>56</v>
      </c>
      <c r="AS18" s="7" t="s">
        <v>58</v>
      </c>
      <c r="AT18" s="112"/>
      <c r="AU18" s="122"/>
      <c r="AV18" s="114"/>
      <c r="AW18" s="116"/>
      <c r="AX18" s="116"/>
      <c r="AY18" s="45" t="s">
        <v>35</v>
      </c>
      <c r="AZ18" s="18">
        <v>4</v>
      </c>
      <c r="BA18" s="115"/>
      <c r="BB18" s="114"/>
      <c r="BC18" s="115"/>
      <c r="BD18" s="108"/>
      <c r="BE18" s="109"/>
    </row>
    <row r="19" spans="2:65" x14ac:dyDescent="0.25">
      <c r="B19" s="128"/>
      <c r="C19" s="1" t="s">
        <v>36</v>
      </c>
      <c r="D19" s="2" t="s">
        <v>56</v>
      </c>
      <c r="E19" s="7" t="s">
        <v>59</v>
      </c>
      <c r="F19" s="112"/>
      <c r="G19" s="116"/>
      <c r="H19" s="116"/>
      <c r="I19" s="116"/>
      <c r="J19" s="116"/>
      <c r="K19" s="45" t="s">
        <v>38</v>
      </c>
      <c r="L19" s="18">
        <v>3.5</v>
      </c>
      <c r="M19" s="129"/>
      <c r="N19" s="116"/>
      <c r="O19" s="134"/>
      <c r="P19" s="131"/>
      <c r="Q19" s="109"/>
      <c r="R19" s="132"/>
      <c r="S19" s="1" t="s">
        <v>36</v>
      </c>
      <c r="T19" s="2" t="s">
        <v>56</v>
      </c>
      <c r="U19" s="7" t="s">
        <v>59</v>
      </c>
      <c r="V19" s="112"/>
      <c r="W19" s="114"/>
      <c r="X19" s="114"/>
      <c r="Y19" s="116"/>
      <c r="Z19" s="116"/>
      <c r="AA19" s="45" t="s">
        <v>38</v>
      </c>
      <c r="AB19" s="18">
        <v>3.5</v>
      </c>
      <c r="AC19" s="115"/>
      <c r="AD19" s="114"/>
      <c r="AE19" s="115"/>
      <c r="AF19" s="118"/>
      <c r="AG19" s="109"/>
      <c r="AH19" s="41"/>
      <c r="AI19" s="41"/>
      <c r="AJ19" s="41"/>
      <c r="AK19" s="41"/>
      <c r="AL19" s="41"/>
      <c r="AM19" s="41"/>
      <c r="AN19" s="41"/>
      <c r="AO19" s="41"/>
      <c r="AP19" s="132"/>
      <c r="AQ19" s="1" t="s">
        <v>36</v>
      </c>
      <c r="AR19" s="2" t="s">
        <v>56</v>
      </c>
      <c r="AS19" s="7" t="s">
        <v>59</v>
      </c>
      <c r="AT19" s="112"/>
      <c r="AU19" s="122"/>
      <c r="AV19" s="114"/>
      <c r="AW19" s="116"/>
      <c r="AX19" s="116"/>
      <c r="AY19" s="45" t="s">
        <v>38</v>
      </c>
      <c r="AZ19" s="18">
        <v>3.5</v>
      </c>
      <c r="BA19" s="115"/>
      <c r="BB19" s="114"/>
      <c r="BC19" s="115"/>
      <c r="BD19" s="108"/>
      <c r="BE19" s="109"/>
    </row>
    <row r="20" spans="2:65" x14ac:dyDescent="0.25">
      <c r="B20" s="128"/>
      <c r="C20" s="1" t="s">
        <v>39</v>
      </c>
      <c r="D20" s="1" t="s">
        <v>40</v>
      </c>
      <c r="E20" s="5">
        <v>6.9999999999999999E-4</v>
      </c>
      <c r="F20" s="112"/>
      <c r="G20" s="116"/>
      <c r="H20" s="116"/>
      <c r="I20" s="116"/>
      <c r="J20" s="116"/>
      <c r="K20" s="45" t="s">
        <v>41</v>
      </c>
      <c r="L20" s="19">
        <v>5.0000000000000001E-4</v>
      </c>
      <c r="M20" s="129"/>
      <c r="N20" s="116"/>
      <c r="O20" s="134"/>
      <c r="P20" s="131"/>
      <c r="Q20" s="109"/>
      <c r="R20" s="132"/>
      <c r="S20" s="1" t="s">
        <v>39</v>
      </c>
      <c r="T20" s="1" t="s">
        <v>40</v>
      </c>
      <c r="U20" s="5">
        <v>6.9999999999999999E-4</v>
      </c>
      <c r="V20" s="112"/>
      <c r="W20" s="114"/>
      <c r="X20" s="114"/>
      <c r="Y20" s="116"/>
      <c r="Z20" s="116"/>
      <c r="AA20" s="45" t="s">
        <v>42</v>
      </c>
      <c r="AB20" s="19">
        <v>2.9999999999999997E-4</v>
      </c>
      <c r="AC20" s="115"/>
      <c r="AD20" s="114"/>
      <c r="AE20" s="115"/>
      <c r="AF20" s="118"/>
      <c r="AG20" s="109"/>
      <c r="AH20" s="41"/>
      <c r="AI20" s="41"/>
      <c r="AJ20" s="41"/>
      <c r="AK20" s="41"/>
      <c r="AL20" s="41"/>
      <c r="AM20" s="41"/>
      <c r="AN20" s="41"/>
      <c r="AO20" s="41"/>
      <c r="AP20" s="132"/>
      <c r="AQ20" s="1" t="s">
        <v>39</v>
      </c>
      <c r="AR20" s="1" t="s">
        <v>40</v>
      </c>
      <c r="AS20" s="5">
        <v>6.9999999999999999E-4</v>
      </c>
      <c r="AT20" s="112"/>
      <c r="AU20" s="122"/>
      <c r="AV20" s="114"/>
      <c r="AW20" s="116"/>
      <c r="AX20" s="116"/>
      <c r="AY20" s="45" t="s">
        <v>42</v>
      </c>
      <c r="AZ20" s="19">
        <v>2.9999999999999997E-4</v>
      </c>
      <c r="BA20" s="115"/>
      <c r="BB20" s="114"/>
      <c r="BC20" s="115"/>
      <c r="BD20" s="108"/>
      <c r="BE20" s="109"/>
    </row>
    <row r="21" spans="2:65" ht="14.25" customHeight="1" x14ac:dyDescent="0.25">
      <c r="B21" s="128"/>
      <c r="C21" s="1" t="s">
        <v>43</v>
      </c>
      <c r="D21" s="110" t="s">
        <v>44</v>
      </c>
      <c r="E21" s="110"/>
      <c r="F21" s="112"/>
      <c r="G21" s="116"/>
      <c r="H21" s="116"/>
      <c r="I21" s="116"/>
      <c r="J21" s="116"/>
      <c r="K21" s="111" t="s">
        <v>45</v>
      </c>
      <c r="L21" s="111"/>
      <c r="M21" s="129"/>
      <c r="N21" s="116"/>
      <c r="O21" s="134"/>
      <c r="P21" s="131"/>
      <c r="Q21" s="109"/>
      <c r="R21" s="132"/>
      <c r="S21" s="1" t="s">
        <v>43</v>
      </c>
      <c r="T21" s="110" t="s">
        <v>44</v>
      </c>
      <c r="U21" s="110"/>
      <c r="V21" s="112"/>
      <c r="W21" s="114"/>
      <c r="X21" s="114"/>
      <c r="Y21" s="116"/>
      <c r="Z21" s="116"/>
      <c r="AA21" s="111" t="s">
        <v>46</v>
      </c>
      <c r="AB21" s="111"/>
      <c r="AC21" s="115"/>
      <c r="AD21" s="114"/>
      <c r="AE21" s="115"/>
      <c r="AF21" s="118"/>
      <c r="AG21" s="109"/>
      <c r="AH21" s="41"/>
      <c r="AI21" s="41"/>
      <c r="AJ21" s="41"/>
      <c r="AK21" s="41"/>
      <c r="AL21" s="41"/>
      <c r="AM21" s="41"/>
      <c r="AN21" s="41"/>
      <c r="AO21" s="41"/>
      <c r="AP21" s="132"/>
      <c r="AQ21" s="1" t="s">
        <v>43</v>
      </c>
      <c r="AR21" s="110" t="s">
        <v>44</v>
      </c>
      <c r="AS21" s="110"/>
      <c r="AT21" s="112"/>
      <c r="AU21" s="122"/>
      <c r="AV21" s="114"/>
      <c r="AW21" s="116"/>
      <c r="AX21" s="116"/>
      <c r="AY21" s="111" t="s">
        <v>46</v>
      </c>
      <c r="AZ21" s="111"/>
      <c r="BA21" s="115"/>
      <c r="BB21" s="114"/>
      <c r="BC21" s="115"/>
      <c r="BD21" s="108"/>
      <c r="BE21" s="109"/>
    </row>
    <row r="22" spans="2:65" ht="12.75" customHeight="1" x14ac:dyDescent="0.25">
      <c r="B22" s="128" t="s">
        <v>60</v>
      </c>
      <c r="C22" s="1" t="s">
        <v>20</v>
      </c>
      <c r="D22" s="2" t="s">
        <v>53</v>
      </c>
      <c r="E22" s="7" t="s">
        <v>54</v>
      </c>
      <c r="F22" s="112" t="s">
        <v>23</v>
      </c>
      <c r="G22" s="116">
        <v>110.7</v>
      </c>
      <c r="H22" s="116">
        <v>1.1000000000000001</v>
      </c>
      <c r="I22" s="116">
        <v>4</v>
      </c>
      <c r="J22" s="116" t="s">
        <v>61</v>
      </c>
      <c r="K22" s="34" t="s">
        <v>62</v>
      </c>
      <c r="L22" s="18">
        <v>0.7</v>
      </c>
      <c r="M22" s="129">
        <f>(G22-N22)/G22</f>
        <v>0.6469738030713641</v>
      </c>
      <c r="N22" s="116">
        <v>39.08</v>
      </c>
      <c r="O22" s="135">
        <f>(H22-P22)/H22</f>
        <v>-4.5454545454545289E-2</v>
      </c>
      <c r="P22" s="131">
        <v>1.1499999999999999</v>
      </c>
      <c r="Q22" s="109" t="s">
        <v>9</v>
      </c>
      <c r="R22" s="132" t="s">
        <v>60</v>
      </c>
      <c r="S22" s="1" t="s">
        <v>20</v>
      </c>
      <c r="T22" s="2" t="s">
        <v>53</v>
      </c>
      <c r="U22" s="7" t="s">
        <v>54</v>
      </c>
      <c r="V22" s="112" t="s">
        <v>23</v>
      </c>
      <c r="W22" s="114">
        <v>256.57</v>
      </c>
      <c r="X22" s="114">
        <v>4.83</v>
      </c>
      <c r="Y22" s="116">
        <v>11</v>
      </c>
      <c r="Z22" s="116" t="s">
        <v>63</v>
      </c>
      <c r="AA22" s="34" t="s">
        <v>62</v>
      </c>
      <c r="AB22" s="18">
        <v>0.7</v>
      </c>
      <c r="AC22" s="115">
        <f>(W22-AD22)/W22</f>
        <v>0.81279962583310594</v>
      </c>
      <c r="AD22" s="114">
        <v>48.03</v>
      </c>
      <c r="AE22" s="115">
        <f>(X22-AF22)/X22</f>
        <v>0.26915113871635615</v>
      </c>
      <c r="AF22" s="118">
        <v>3.53</v>
      </c>
      <c r="AG22" s="109" t="s">
        <v>9</v>
      </c>
      <c r="AH22" s="46" t="s">
        <v>49</v>
      </c>
      <c r="AI22" s="18">
        <v>1.1000000000000001</v>
      </c>
      <c r="AJ22" s="117">
        <f>((1/AI22)+AI23+AI24+AI25)/4</f>
        <v>2.5272727272727273</v>
      </c>
      <c r="AK22" s="115">
        <f>(W22-AL22)/W22</f>
        <v>0.78742643333203421</v>
      </c>
      <c r="AL22" s="114">
        <v>54.54</v>
      </c>
      <c r="AM22" s="115">
        <f>(X22-AN22)/X22</f>
        <v>0.28157349896480327</v>
      </c>
      <c r="AN22" s="118">
        <v>3.47</v>
      </c>
      <c r="AO22" s="123" t="s">
        <v>64</v>
      </c>
      <c r="AP22" s="132" t="s">
        <v>60</v>
      </c>
      <c r="AQ22" s="1" t="s">
        <v>20</v>
      </c>
      <c r="AR22" s="2" t="s">
        <v>53</v>
      </c>
      <c r="AS22" s="7" t="s">
        <v>54</v>
      </c>
      <c r="AT22" s="112" t="s">
        <v>23</v>
      </c>
      <c r="AU22" s="122">
        <v>177.44</v>
      </c>
      <c r="AV22" s="114">
        <v>4.04</v>
      </c>
      <c r="AW22" s="116">
        <v>18</v>
      </c>
      <c r="AX22" s="116" t="s">
        <v>65</v>
      </c>
      <c r="AY22" s="2" t="s">
        <v>53</v>
      </c>
      <c r="AZ22" s="7">
        <v>2.8</v>
      </c>
      <c r="BA22" s="115">
        <f>(AU22-BB22)/AU22</f>
        <v>0.72368124436429215</v>
      </c>
      <c r="BB22" s="114">
        <v>49.03</v>
      </c>
      <c r="BC22" s="115">
        <f>(AV22-BD22)/AV22</f>
        <v>0.21534653465346537</v>
      </c>
      <c r="BD22" s="108">
        <v>3.17</v>
      </c>
      <c r="BE22" s="109" t="s">
        <v>9</v>
      </c>
      <c r="BF22" s="20" t="s">
        <v>49</v>
      </c>
      <c r="BG22" s="18">
        <v>1.1000000000000001</v>
      </c>
      <c r="BH22" s="117">
        <f>((1/BG22)+BG23+BG24+BG25)/4</f>
        <v>1.8522727272727273</v>
      </c>
      <c r="BI22" s="115">
        <f>(AU22-BJ22)/AU22</f>
        <v>0.75862263300270527</v>
      </c>
      <c r="BJ22" s="114">
        <v>42.83</v>
      </c>
      <c r="BK22" s="115">
        <f>(AV22-BL22)/AV22</f>
        <v>0.11633663366336638</v>
      </c>
      <c r="BL22" s="118">
        <v>3.57</v>
      </c>
      <c r="BM22" s="119" t="s">
        <v>9</v>
      </c>
    </row>
    <row r="23" spans="2:65" ht="12.75" customHeight="1" x14ac:dyDescent="0.25">
      <c r="B23" s="128"/>
      <c r="C23" s="1" t="s">
        <v>29</v>
      </c>
      <c r="D23" s="2" t="s">
        <v>56</v>
      </c>
      <c r="E23" s="7" t="s">
        <v>57</v>
      </c>
      <c r="F23" s="112"/>
      <c r="G23" s="116"/>
      <c r="H23" s="116"/>
      <c r="I23" s="116"/>
      <c r="J23" s="116"/>
      <c r="K23" s="34" t="s">
        <v>66</v>
      </c>
      <c r="L23" s="18">
        <v>1.7</v>
      </c>
      <c r="M23" s="129"/>
      <c r="N23" s="116"/>
      <c r="O23" s="135"/>
      <c r="P23" s="131"/>
      <c r="Q23" s="109"/>
      <c r="R23" s="132"/>
      <c r="S23" s="1" t="s">
        <v>29</v>
      </c>
      <c r="T23" s="2" t="s">
        <v>56</v>
      </c>
      <c r="U23" s="7" t="s">
        <v>57</v>
      </c>
      <c r="V23" s="112"/>
      <c r="W23" s="114"/>
      <c r="X23" s="114"/>
      <c r="Y23" s="116"/>
      <c r="Z23" s="116"/>
      <c r="AA23" s="34" t="s">
        <v>66</v>
      </c>
      <c r="AB23" s="18">
        <v>1.7</v>
      </c>
      <c r="AC23" s="115"/>
      <c r="AD23" s="114"/>
      <c r="AE23" s="115"/>
      <c r="AF23" s="118"/>
      <c r="AG23" s="109"/>
      <c r="AH23" s="34" t="s">
        <v>66</v>
      </c>
      <c r="AI23" s="18">
        <v>1.7</v>
      </c>
      <c r="AJ23" s="117"/>
      <c r="AK23" s="115"/>
      <c r="AL23" s="114"/>
      <c r="AM23" s="115"/>
      <c r="AN23" s="118"/>
      <c r="AO23" s="123"/>
      <c r="AP23" s="132"/>
      <c r="AQ23" s="1" t="s">
        <v>29</v>
      </c>
      <c r="AR23" s="2" t="s">
        <v>56</v>
      </c>
      <c r="AS23" s="7" t="s">
        <v>57</v>
      </c>
      <c r="AT23" s="112"/>
      <c r="AU23" s="122"/>
      <c r="AV23" s="114"/>
      <c r="AW23" s="116"/>
      <c r="AX23" s="116"/>
      <c r="AY23" s="34" t="s">
        <v>66</v>
      </c>
      <c r="AZ23" s="18">
        <v>1.7</v>
      </c>
      <c r="BA23" s="115"/>
      <c r="BB23" s="114"/>
      <c r="BC23" s="115"/>
      <c r="BD23" s="108"/>
      <c r="BE23" s="109"/>
      <c r="BF23" s="17" t="s">
        <v>66</v>
      </c>
      <c r="BG23" s="18">
        <v>1.7</v>
      </c>
      <c r="BH23" s="117"/>
      <c r="BI23" s="115"/>
      <c r="BJ23" s="114"/>
      <c r="BK23" s="115"/>
      <c r="BL23" s="118"/>
      <c r="BM23" s="120"/>
    </row>
    <row r="24" spans="2:65" ht="12.75" customHeight="1" x14ac:dyDescent="0.25">
      <c r="B24" s="128"/>
      <c r="C24" s="1" t="s">
        <v>33</v>
      </c>
      <c r="D24" s="2" t="s">
        <v>56</v>
      </c>
      <c r="E24" s="7" t="s">
        <v>58</v>
      </c>
      <c r="F24" s="112"/>
      <c r="G24" s="116"/>
      <c r="H24" s="116"/>
      <c r="I24" s="116"/>
      <c r="J24" s="116"/>
      <c r="K24" s="45" t="s">
        <v>35</v>
      </c>
      <c r="L24" s="18">
        <v>4</v>
      </c>
      <c r="M24" s="129"/>
      <c r="N24" s="116"/>
      <c r="O24" s="135"/>
      <c r="P24" s="131"/>
      <c r="Q24" s="109"/>
      <c r="R24" s="132"/>
      <c r="S24" s="1" t="s">
        <v>33</v>
      </c>
      <c r="T24" s="2" t="s">
        <v>56</v>
      </c>
      <c r="U24" s="7" t="s">
        <v>58</v>
      </c>
      <c r="V24" s="112"/>
      <c r="W24" s="114"/>
      <c r="X24" s="114"/>
      <c r="Y24" s="116"/>
      <c r="Z24" s="116"/>
      <c r="AA24" s="45" t="s">
        <v>35</v>
      </c>
      <c r="AB24" s="18">
        <v>4</v>
      </c>
      <c r="AC24" s="115"/>
      <c r="AD24" s="114"/>
      <c r="AE24" s="115"/>
      <c r="AF24" s="118"/>
      <c r="AG24" s="109"/>
      <c r="AH24" s="45" t="s">
        <v>35</v>
      </c>
      <c r="AI24" s="18">
        <v>4</v>
      </c>
      <c r="AJ24" s="117"/>
      <c r="AK24" s="115"/>
      <c r="AL24" s="114"/>
      <c r="AM24" s="115"/>
      <c r="AN24" s="118"/>
      <c r="AO24" s="123"/>
      <c r="AP24" s="132"/>
      <c r="AQ24" s="1" t="s">
        <v>33</v>
      </c>
      <c r="AR24" s="2" t="s">
        <v>56</v>
      </c>
      <c r="AS24" s="7" t="s">
        <v>58</v>
      </c>
      <c r="AT24" s="112"/>
      <c r="AU24" s="122"/>
      <c r="AV24" s="114"/>
      <c r="AW24" s="116"/>
      <c r="AX24" s="116"/>
      <c r="AY24" s="45" t="s">
        <v>35</v>
      </c>
      <c r="AZ24" s="18">
        <v>4</v>
      </c>
      <c r="BA24" s="115"/>
      <c r="BB24" s="114"/>
      <c r="BC24" s="115"/>
      <c r="BD24" s="108"/>
      <c r="BE24" s="109"/>
      <c r="BF24" s="16" t="s">
        <v>35</v>
      </c>
      <c r="BG24" s="18">
        <v>1.3</v>
      </c>
      <c r="BH24" s="117"/>
      <c r="BI24" s="115"/>
      <c r="BJ24" s="114"/>
      <c r="BK24" s="115"/>
      <c r="BL24" s="118"/>
      <c r="BM24" s="120"/>
    </row>
    <row r="25" spans="2:65" ht="12.75" customHeight="1" x14ac:dyDescent="0.25">
      <c r="B25" s="128"/>
      <c r="C25" s="1" t="s">
        <v>36</v>
      </c>
      <c r="D25" s="2" t="s">
        <v>56</v>
      </c>
      <c r="E25" s="7" t="s">
        <v>59</v>
      </c>
      <c r="F25" s="112"/>
      <c r="G25" s="116"/>
      <c r="H25" s="116"/>
      <c r="I25" s="116"/>
      <c r="J25" s="116"/>
      <c r="K25" s="45" t="s">
        <v>38</v>
      </c>
      <c r="L25" s="18">
        <v>3.5</v>
      </c>
      <c r="M25" s="129"/>
      <c r="N25" s="116"/>
      <c r="O25" s="135"/>
      <c r="P25" s="131"/>
      <c r="Q25" s="109"/>
      <c r="R25" s="132"/>
      <c r="S25" s="1" t="s">
        <v>36</v>
      </c>
      <c r="T25" s="2" t="s">
        <v>56</v>
      </c>
      <c r="U25" s="7" t="s">
        <v>59</v>
      </c>
      <c r="V25" s="112"/>
      <c r="W25" s="114"/>
      <c r="X25" s="114"/>
      <c r="Y25" s="116"/>
      <c r="Z25" s="116"/>
      <c r="AA25" s="45" t="s">
        <v>38</v>
      </c>
      <c r="AB25" s="18">
        <v>3.5</v>
      </c>
      <c r="AC25" s="115"/>
      <c r="AD25" s="114"/>
      <c r="AE25" s="115"/>
      <c r="AF25" s="118"/>
      <c r="AG25" s="109"/>
      <c r="AH25" s="45" t="s">
        <v>38</v>
      </c>
      <c r="AI25" s="18">
        <v>3.5</v>
      </c>
      <c r="AJ25" s="117"/>
      <c r="AK25" s="115"/>
      <c r="AL25" s="114"/>
      <c r="AM25" s="115"/>
      <c r="AN25" s="118"/>
      <c r="AO25" s="123"/>
      <c r="AP25" s="132"/>
      <c r="AQ25" s="1" t="s">
        <v>36</v>
      </c>
      <c r="AR25" s="2" t="s">
        <v>56</v>
      </c>
      <c r="AS25" s="7" t="s">
        <v>59</v>
      </c>
      <c r="AT25" s="112"/>
      <c r="AU25" s="122"/>
      <c r="AV25" s="114"/>
      <c r="AW25" s="116"/>
      <c r="AX25" s="116"/>
      <c r="AY25" s="45" t="s">
        <v>38</v>
      </c>
      <c r="AZ25" s="18">
        <v>3.5</v>
      </c>
      <c r="BA25" s="115"/>
      <c r="BB25" s="114"/>
      <c r="BC25" s="115"/>
      <c r="BD25" s="108"/>
      <c r="BE25" s="109"/>
      <c r="BF25" s="16" t="s">
        <v>38</v>
      </c>
      <c r="BG25" s="18">
        <v>3.5</v>
      </c>
      <c r="BH25" s="117"/>
      <c r="BI25" s="115"/>
      <c r="BJ25" s="114"/>
      <c r="BK25" s="115"/>
      <c r="BL25" s="118"/>
      <c r="BM25" s="120"/>
    </row>
    <row r="26" spans="2:65" ht="12.75" customHeight="1" x14ac:dyDescent="0.25">
      <c r="B26" s="128"/>
      <c r="C26" s="1" t="s">
        <v>39</v>
      </c>
      <c r="D26" s="1" t="s">
        <v>40</v>
      </c>
      <c r="E26" s="5">
        <v>6.9999999999999999E-4</v>
      </c>
      <c r="F26" s="112"/>
      <c r="G26" s="116"/>
      <c r="H26" s="116"/>
      <c r="I26" s="116"/>
      <c r="J26" s="116"/>
      <c r="K26" s="45" t="s">
        <v>41</v>
      </c>
      <c r="L26" s="19">
        <v>5.0000000000000001E-4</v>
      </c>
      <c r="M26" s="129"/>
      <c r="N26" s="116"/>
      <c r="O26" s="135"/>
      <c r="P26" s="131"/>
      <c r="Q26" s="109"/>
      <c r="R26" s="132"/>
      <c r="S26" s="1" t="s">
        <v>39</v>
      </c>
      <c r="T26" s="1" t="s">
        <v>40</v>
      </c>
      <c r="U26" s="5">
        <v>6.9999999999999999E-4</v>
      </c>
      <c r="V26" s="112"/>
      <c r="W26" s="114"/>
      <c r="X26" s="114"/>
      <c r="Y26" s="116"/>
      <c r="Z26" s="116"/>
      <c r="AA26" s="45" t="s">
        <v>42</v>
      </c>
      <c r="AB26" s="19">
        <v>2.9999999999999997E-4</v>
      </c>
      <c r="AC26" s="115"/>
      <c r="AD26" s="114"/>
      <c r="AE26" s="115"/>
      <c r="AF26" s="118"/>
      <c r="AG26" s="109"/>
      <c r="AH26" s="45" t="s">
        <v>42</v>
      </c>
      <c r="AI26" s="19">
        <v>2.9999999999999997E-4</v>
      </c>
      <c r="AJ26" s="117"/>
      <c r="AK26" s="115"/>
      <c r="AL26" s="114"/>
      <c r="AM26" s="115"/>
      <c r="AN26" s="118"/>
      <c r="AO26" s="123"/>
      <c r="AP26" s="132"/>
      <c r="AQ26" s="1" t="s">
        <v>39</v>
      </c>
      <c r="AR26" s="1" t="s">
        <v>40</v>
      </c>
      <c r="AS26" s="5">
        <v>6.9999999999999999E-4</v>
      </c>
      <c r="AT26" s="112"/>
      <c r="AU26" s="122"/>
      <c r="AV26" s="114"/>
      <c r="AW26" s="116"/>
      <c r="AX26" s="116"/>
      <c r="AY26" s="45" t="s">
        <v>42</v>
      </c>
      <c r="AZ26" s="19">
        <v>2.9999999999999997E-4</v>
      </c>
      <c r="BA26" s="115"/>
      <c r="BB26" s="114"/>
      <c r="BC26" s="115"/>
      <c r="BD26" s="108"/>
      <c r="BE26" s="109"/>
      <c r="BF26" s="16" t="s">
        <v>42</v>
      </c>
      <c r="BG26" s="19">
        <v>2.9999999999999997E-4</v>
      </c>
      <c r="BH26" s="117"/>
      <c r="BI26" s="115"/>
      <c r="BJ26" s="114"/>
      <c r="BK26" s="115"/>
      <c r="BL26" s="118"/>
      <c r="BM26" s="120"/>
    </row>
    <row r="27" spans="2:65" ht="14.25" customHeight="1" x14ac:dyDescent="0.25">
      <c r="B27" s="128"/>
      <c r="C27" s="1" t="s">
        <v>43</v>
      </c>
      <c r="D27" s="110" t="s">
        <v>44</v>
      </c>
      <c r="E27" s="110"/>
      <c r="F27" s="112"/>
      <c r="G27" s="116"/>
      <c r="H27" s="116"/>
      <c r="I27" s="116"/>
      <c r="J27" s="116"/>
      <c r="K27" s="111" t="s">
        <v>45</v>
      </c>
      <c r="L27" s="111"/>
      <c r="M27" s="129"/>
      <c r="N27" s="116"/>
      <c r="O27" s="135"/>
      <c r="P27" s="131"/>
      <c r="Q27" s="109"/>
      <c r="R27" s="132"/>
      <c r="S27" s="1" t="s">
        <v>43</v>
      </c>
      <c r="T27" s="110" t="s">
        <v>44</v>
      </c>
      <c r="U27" s="110"/>
      <c r="V27" s="112"/>
      <c r="W27" s="114"/>
      <c r="X27" s="114"/>
      <c r="Y27" s="116"/>
      <c r="Z27" s="116"/>
      <c r="AA27" s="111" t="s">
        <v>46</v>
      </c>
      <c r="AB27" s="111"/>
      <c r="AC27" s="115"/>
      <c r="AD27" s="114"/>
      <c r="AE27" s="115"/>
      <c r="AF27" s="118"/>
      <c r="AG27" s="109"/>
      <c r="AH27" s="111" t="s">
        <v>46</v>
      </c>
      <c r="AI27" s="111"/>
      <c r="AJ27" s="117"/>
      <c r="AK27" s="115"/>
      <c r="AL27" s="114"/>
      <c r="AM27" s="115"/>
      <c r="AN27" s="118"/>
      <c r="AO27" s="123"/>
      <c r="AP27" s="132"/>
      <c r="AQ27" s="1" t="s">
        <v>43</v>
      </c>
      <c r="AR27" s="110" t="s">
        <v>44</v>
      </c>
      <c r="AS27" s="110"/>
      <c r="AT27" s="112"/>
      <c r="AU27" s="122"/>
      <c r="AV27" s="114"/>
      <c r="AW27" s="116"/>
      <c r="AX27" s="116"/>
      <c r="AY27" s="111" t="s">
        <v>46</v>
      </c>
      <c r="AZ27" s="111"/>
      <c r="BA27" s="115"/>
      <c r="BB27" s="114"/>
      <c r="BC27" s="115"/>
      <c r="BD27" s="108"/>
      <c r="BE27" s="109"/>
      <c r="BF27" s="121" t="s">
        <v>46</v>
      </c>
      <c r="BG27" s="111"/>
      <c r="BH27" s="117"/>
      <c r="BI27" s="115"/>
      <c r="BJ27" s="114"/>
      <c r="BK27" s="115"/>
      <c r="BL27" s="118"/>
      <c r="BM27" s="120"/>
    </row>
    <row r="28" spans="2:65" x14ac:dyDescent="0.25">
      <c r="B28" s="128" t="s">
        <v>67</v>
      </c>
      <c r="C28" s="1" t="s">
        <v>20</v>
      </c>
      <c r="D28" s="8" t="s">
        <v>68</v>
      </c>
      <c r="E28" s="7" t="s">
        <v>54</v>
      </c>
      <c r="F28" s="123" t="s">
        <v>64</v>
      </c>
      <c r="G28" s="126">
        <v>62.93</v>
      </c>
      <c r="H28" s="116">
        <v>1.08</v>
      </c>
      <c r="I28" s="116">
        <v>5</v>
      </c>
      <c r="J28" s="116" t="s">
        <v>69</v>
      </c>
      <c r="K28" s="34" t="s">
        <v>49</v>
      </c>
      <c r="L28" s="18">
        <v>1.1000000000000001</v>
      </c>
      <c r="M28" s="129">
        <f>(G28-N28)/G28</f>
        <v>0.3815350389321468</v>
      </c>
      <c r="N28" s="116">
        <v>38.92</v>
      </c>
      <c r="O28" s="135">
        <f>(H28-P28)/H28</f>
        <v>-5.5555555555555393E-2</v>
      </c>
      <c r="P28" s="131">
        <v>1.1399999999999999</v>
      </c>
      <c r="Q28" s="109" t="s">
        <v>9</v>
      </c>
      <c r="R28" s="132" t="s">
        <v>67</v>
      </c>
      <c r="S28" s="1" t="s">
        <v>20</v>
      </c>
      <c r="T28" s="8" t="s">
        <v>68</v>
      </c>
      <c r="U28" s="7" t="s">
        <v>54</v>
      </c>
      <c r="V28" s="112" t="s">
        <v>23</v>
      </c>
      <c r="W28" s="127">
        <v>171.16</v>
      </c>
      <c r="X28" s="114">
        <v>3.66</v>
      </c>
      <c r="Y28" s="116">
        <v>12</v>
      </c>
      <c r="Z28" s="116" t="s">
        <v>70</v>
      </c>
      <c r="AA28" s="34" t="s">
        <v>49</v>
      </c>
      <c r="AB28" s="18">
        <v>1.1000000000000001</v>
      </c>
      <c r="AC28" s="115">
        <f>(W28-AD28)/W28</f>
        <v>0.71780789904183218</v>
      </c>
      <c r="AD28" s="114">
        <v>48.3</v>
      </c>
      <c r="AE28" s="115">
        <f>(X28-AF28)/X28</f>
        <v>7.650273224043723E-2</v>
      </c>
      <c r="AF28" s="118">
        <v>3.38</v>
      </c>
      <c r="AG28" s="109" t="s">
        <v>9</v>
      </c>
      <c r="AH28" s="41"/>
      <c r="AI28" s="41"/>
      <c r="AJ28" s="41"/>
      <c r="AK28" s="41"/>
      <c r="AL28" s="41"/>
      <c r="AM28" s="41"/>
      <c r="AN28" s="41"/>
      <c r="AO28" s="41"/>
      <c r="AP28" s="132" t="s">
        <v>67</v>
      </c>
      <c r="AQ28" s="1" t="s">
        <v>20</v>
      </c>
      <c r="AR28" s="8" t="s">
        <v>68</v>
      </c>
      <c r="AS28" s="7" t="s">
        <v>54</v>
      </c>
      <c r="AT28" s="112" t="s">
        <v>23</v>
      </c>
      <c r="AU28" s="113">
        <v>125.17</v>
      </c>
      <c r="AV28" s="114">
        <v>3.24</v>
      </c>
      <c r="AW28" s="116">
        <v>19</v>
      </c>
      <c r="AX28" s="116" t="s">
        <v>71</v>
      </c>
      <c r="AY28" s="45" t="s">
        <v>49</v>
      </c>
      <c r="AZ28" s="18">
        <v>1.1000000000000001</v>
      </c>
      <c r="BA28" s="115">
        <f>(AU28-BB28)/AU28</f>
        <v>0.79236238715347129</v>
      </c>
      <c r="BB28" s="114">
        <v>25.99</v>
      </c>
      <c r="BC28" s="115">
        <f>(AV28-BD28)/AV28</f>
        <v>-9.259259259259198E-3</v>
      </c>
      <c r="BD28" s="108">
        <v>3.27</v>
      </c>
      <c r="BE28" s="109" t="s">
        <v>9</v>
      </c>
    </row>
    <row r="29" spans="2:65" x14ac:dyDescent="0.25">
      <c r="B29" s="128"/>
      <c r="C29" s="1" t="s">
        <v>29</v>
      </c>
      <c r="D29" s="2" t="s">
        <v>72</v>
      </c>
      <c r="E29" s="7" t="s">
        <v>73</v>
      </c>
      <c r="F29" s="123"/>
      <c r="G29" s="126"/>
      <c r="H29" s="116"/>
      <c r="I29" s="116"/>
      <c r="J29" s="116"/>
      <c r="K29" s="34" t="s">
        <v>74</v>
      </c>
      <c r="L29" s="47">
        <v>2</v>
      </c>
      <c r="M29" s="129"/>
      <c r="N29" s="116"/>
      <c r="O29" s="135"/>
      <c r="P29" s="131"/>
      <c r="Q29" s="109"/>
      <c r="R29" s="132"/>
      <c r="S29" s="1" t="s">
        <v>29</v>
      </c>
      <c r="T29" s="2" t="s">
        <v>72</v>
      </c>
      <c r="U29" s="7" t="s">
        <v>73</v>
      </c>
      <c r="V29" s="112"/>
      <c r="W29" s="127"/>
      <c r="X29" s="114"/>
      <c r="Y29" s="116"/>
      <c r="Z29" s="116"/>
      <c r="AA29" s="34" t="s">
        <v>74</v>
      </c>
      <c r="AB29" s="18">
        <v>2</v>
      </c>
      <c r="AC29" s="115"/>
      <c r="AD29" s="114"/>
      <c r="AE29" s="115"/>
      <c r="AF29" s="118"/>
      <c r="AG29" s="109"/>
      <c r="AH29" s="41"/>
      <c r="AI29" s="41"/>
      <c r="AJ29" s="41"/>
      <c r="AK29" s="41"/>
      <c r="AL29" s="41"/>
      <c r="AM29" s="41"/>
      <c r="AN29" s="41"/>
      <c r="AO29" s="41"/>
      <c r="AP29" s="132"/>
      <c r="AQ29" s="1" t="s">
        <v>29</v>
      </c>
      <c r="AR29" s="2" t="s">
        <v>72</v>
      </c>
      <c r="AS29" s="7" t="s">
        <v>73</v>
      </c>
      <c r="AT29" s="112"/>
      <c r="AU29" s="113"/>
      <c r="AV29" s="114"/>
      <c r="AW29" s="116"/>
      <c r="AX29" s="116"/>
      <c r="AY29" s="2" t="s">
        <v>72</v>
      </c>
      <c r="AZ29" s="7">
        <v>1.3</v>
      </c>
      <c r="BA29" s="115"/>
      <c r="BB29" s="114"/>
      <c r="BC29" s="115"/>
      <c r="BD29" s="108"/>
      <c r="BE29" s="109"/>
    </row>
    <row r="30" spans="2:65" x14ac:dyDescent="0.25">
      <c r="B30" s="128"/>
      <c r="C30" s="1" t="s">
        <v>33</v>
      </c>
      <c r="D30" s="2" t="s">
        <v>72</v>
      </c>
      <c r="E30" s="7" t="s">
        <v>73</v>
      </c>
      <c r="F30" s="123"/>
      <c r="G30" s="126"/>
      <c r="H30" s="116"/>
      <c r="I30" s="116"/>
      <c r="J30" s="116"/>
      <c r="K30" s="34" t="s">
        <v>35</v>
      </c>
      <c r="L30" s="47">
        <v>8</v>
      </c>
      <c r="M30" s="129"/>
      <c r="N30" s="116"/>
      <c r="O30" s="135"/>
      <c r="P30" s="131"/>
      <c r="Q30" s="109"/>
      <c r="R30" s="132"/>
      <c r="S30" s="1" t="s">
        <v>33</v>
      </c>
      <c r="T30" s="2" t="s">
        <v>72</v>
      </c>
      <c r="U30" s="7" t="s">
        <v>73</v>
      </c>
      <c r="V30" s="112"/>
      <c r="W30" s="127"/>
      <c r="X30" s="114"/>
      <c r="Y30" s="116"/>
      <c r="Z30" s="116"/>
      <c r="AA30" s="45" t="s">
        <v>35</v>
      </c>
      <c r="AB30" s="18">
        <v>8</v>
      </c>
      <c r="AC30" s="115"/>
      <c r="AD30" s="114"/>
      <c r="AE30" s="115"/>
      <c r="AF30" s="118"/>
      <c r="AG30" s="109"/>
      <c r="AH30" s="41"/>
      <c r="AI30" s="41"/>
      <c r="AJ30" s="41"/>
      <c r="AK30" s="41"/>
      <c r="AL30" s="41"/>
      <c r="AM30" s="41"/>
      <c r="AN30" s="41"/>
      <c r="AO30" s="41"/>
      <c r="AP30" s="132"/>
      <c r="AQ30" s="1" t="s">
        <v>33</v>
      </c>
      <c r="AR30" s="2" t="s">
        <v>72</v>
      </c>
      <c r="AS30" s="7" t="s">
        <v>73</v>
      </c>
      <c r="AT30" s="112"/>
      <c r="AU30" s="113"/>
      <c r="AV30" s="114"/>
      <c r="AW30" s="116"/>
      <c r="AX30" s="116"/>
      <c r="AY30" s="45" t="s">
        <v>35</v>
      </c>
      <c r="AZ30" s="18">
        <v>8</v>
      </c>
      <c r="BA30" s="115"/>
      <c r="BB30" s="114"/>
      <c r="BC30" s="115"/>
      <c r="BD30" s="108"/>
      <c r="BE30" s="109"/>
    </row>
    <row r="31" spans="2:65" x14ac:dyDescent="0.25">
      <c r="B31" s="128"/>
      <c r="C31" s="1" t="s">
        <v>36</v>
      </c>
      <c r="D31" s="2" t="s">
        <v>72</v>
      </c>
      <c r="E31" s="7" t="s">
        <v>75</v>
      </c>
      <c r="F31" s="123"/>
      <c r="G31" s="126"/>
      <c r="H31" s="116"/>
      <c r="I31" s="116"/>
      <c r="J31" s="116"/>
      <c r="K31" s="34" t="s">
        <v>38</v>
      </c>
      <c r="L31" s="47">
        <v>3.5</v>
      </c>
      <c r="M31" s="129"/>
      <c r="N31" s="116"/>
      <c r="O31" s="135"/>
      <c r="P31" s="131"/>
      <c r="Q31" s="109"/>
      <c r="R31" s="132"/>
      <c r="S31" s="1" t="s">
        <v>36</v>
      </c>
      <c r="T31" s="2" t="s">
        <v>72</v>
      </c>
      <c r="U31" s="7" t="s">
        <v>75</v>
      </c>
      <c r="V31" s="112"/>
      <c r="W31" s="127"/>
      <c r="X31" s="114"/>
      <c r="Y31" s="116"/>
      <c r="Z31" s="116"/>
      <c r="AA31" s="45" t="s">
        <v>38</v>
      </c>
      <c r="AB31" s="18">
        <v>3.5</v>
      </c>
      <c r="AC31" s="115"/>
      <c r="AD31" s="114"/>
      <c r="AE31" s="115"/>
      <c r="AF31" s="118"/>
      <c r="AG31" s="109"/>
      <c r="AH31" s="41"/>
      <c r="AI31" s="41"/>
      <c r="AJ31" s="41"/>
      <c r="AK31" s="41"/>
      <c r="AL31" s="41"/>
      <c r="AM31" s="41"/>
      <c r="AN31" s="41"/>
      <c r="AO31" s="41"/>
      <c r="AP31" s="132"/>
      <c r="AQ31" s="1" t="s">
        <v>36</v>
      </c>
      <c r="AR31" s="2" t="s">
        <v>72</v>
      </c>
      <c r="AS31" s="7" t="s">
        <v>75</v>
      </c>
      <c r="AT31" s="112"/>
      <c r="AU31" s="113"/>
      <c r="AV31" s="114"/>
      <c r="AW31" s="116"/>
      <c r="AX31" s="116"/>
      <c r="AY31" s="45" t="s">
        <v>38</v>
      </c>
      <c r="AZ31" s="18">
        <v>3.5</v>
      </c>
      <c r="BA31" s="115"/>
      <c r="BB31" s="114"/>
      <c r="BC31" s="115"/>
      <c r="BD31" s="108"/>
      <c r="BE31" s="109"/>
    </row>
    <row r="32" spans="2:65" x14ac:dyDescent="0.25">
      <c r="B32" s="128"/>
      <c r="C32" s="1" t="s">
        <v>39</v>
      </c>
      <c r="D32" s="44" t="s">
        <v>41</v>
      </c>
      <c r="E32" s="5">
        <v>5.0000000000000001E-4</v>
      </c>
      <c r="F32" s="123"/>
      <c r="G32" s="126"/>
      <c r="H32" s="116"/>
      <c r="I32" s="116"/>
      <c r="J32" s="116"/>
      <c r="K32" s="8" t="s">
        <v>41</v>
      </c>
      <c r="L32" s="48">
        <v>5.0000000000000001E-4</v>
      </c>
      <c r="M32" s="129"/>
      <c r="N32" s="116"/>
      <c r="O32" s="135"/>
      <c r="P32" s="131"/>
      <c r="Q32" s="109"/>
      <c r="R32" s="132"/>
      <c r="S32" s="1" t="s">
        <v>39</v>
      </c>
      <c r="T32" s="44" t="s">
        <v>41</v>
      </c>
      <c r="U32" s="5">
        <v>5.0000000000000001E-4</v>
      </c>
      <c r="V32" s="112"/>
      <c r="W32" s="127"/>
      <c r="X32" s="114"/>
      <c r="Y32" s="116"/>
      <c r="Z32" s="116"/>
      <c r="AA32" s="45" t="s">
        <v>42</v>
      </c>
      <c r="AB32" s="19">
        <v>2.9999999999999997E-4</v>
      </c>
      <c r="AC32" s="115"/>
      <c r="AD32" s="114"/>
      <c r="AE32" s="115"/>
      <c r="AF32" s="118"/>
      <c r="AG32" s="109"/>
      <c r="AH32" s="41"/>
      <c r="AI32" s="41"/>
      <c r="AJ32" s="41"/>
      <c r="AK32" s="41"/>
      <c r="AL32" s="41"/>
      <c r="AM32" s="41"/>
      <c r="AN32" s="41"/>
      <c r="AO32" s="41"/>
      <c r="AP32" s="132"/>
      <c r="AQ32" s="1" t="s">
        <v>39</v>
      </c>
      <c r="AR32" s="44" t="s">
        <v>41</v>
      </c>
      <c r="AS32" s="5">
        <v>5.0000000000000001E-4</v>
      </c>
      <c r="AT32" s="112"/>
      <c r="AU32" s="113"/>
      <c r="AV32" s="114"/>
      <c r="AW32" s="116"/>
      <c r="AX32" s="116"/>
      <c r="AY32" s="45" t="s">
        <v>42</v>
      </c>
      <c r="AZ32" s="19">
        <v>2.9999999999999997E-4</v>
      </c>
      <c r="BA32" s="115"/>
      <c r="BB32" s="114"/>
      <c r="BC32" s="115"/>
      <c r="BD32" s="108"/>
      <c r="BE32" s="109"/>
    </row>
    <row r="33" spans="2:57" ht="14.25" customHeight="1" x14ac:dyDescent="0.25">
      <c r="B33" s="128"/>
      <c r="C33" s="1" t="s">
        <v>43</v>
      </c>
      <c r="D33" s="110" t="s">
        <v>45</v>
      </c>
      <c r="E33" s="110"/>
      <c r="F33" s="123"/>
      <c r="G33" s="126"/>
      <c r="H33" s="116"/>
      <c r="I33" s="116"/>
      <c r="J33" s="116"/>
      <c r="K33" s="125" t="s">
        <v>45</v>
      </c>
      <c r="L33" s="125"/>
      <c r="M33" s="129"/>
      <c r="N33" s="116"/>
      <c r="O33" s="135"/>
      <c r="P33" s="131"/>
      <c r="Q33" s="109"/>
      <c r="R33" s="132"/>
      <c r="S33" s="1" t="s">
        <v>43</v>
      </c>
      <c r="T33" s="110" t="s">
        <v>45</v>
      </c>
      <c r="U33" s="110"/>
      <c r="V33" s="112"/>
      <c r="W33" s="127"/>
      <c r="X33" s="114"/>
      <c r="Y33" s="116"/>
      <c r="Z33" s="116"/>
      <c r="AA33" s="111" t="s">
        <v>46</v>
      </c>
      <c r="AB33" s="111"/>
      <c r="AC33" s="115"/>
      <c r="AD33" s="114"/>
      <c r="AE33" s="115"/>
      <c r="AF33" s="118"/>
      <c r="AG33" s="109"/>
      <c r="AH33" s="41"/>
      <c r="AI33" s="41"/>
      <c r="AJ33" s="41"/>
      <c r="AK33" s="41"/>
      <c r="AL33" s="41"/>
      <c r="AM33" s="41"/>
      <c r="AN33" s="41"/>
      <c r="AO33" s="41"/>
      <c r="AP33" s="132"/>
      <c r="AQ33" s="1" t="s">
        <v>43</v>
      </c>
      <c r="AR33" s="110" t="s">
        <v>45</v>
      </c>
      <c r="AS33" s="110"/>
      <c r="AT33" s="112"/>
      <c r="AU33" s="113"/>
      <c r="AV33" s="114"/>
      <c r="AW33" s="116"/>
      <c r="AX33" s="116"/>
      <c r="AY33" s="111" t="s">
        <v>46</v>
      </c>
      <c r="AZ33" s="111"/>
      <c r="BA33" s="115"/>
      <c r="BB33" s="114"/>
      <c r="BC33" s="115"/>
      <c r="BD33" s="108"/>
      <c r="BE33" s="109"/>
    </row>
    <row r="34" spans="2:57" ht="12.75" customHeight="1" x14ac:dyDescent="0.25">
      <c r="B34" s="128" t="s">
        <v>76</v>
      </c>
      <c r="C34" s="1" t="s">
        <v>20</v>
      </c>
      <c r="D34" s="8" t="s">
        <v>68</v>
      </c>
      <c r="E34" s="6">
        <v>2.8</v>
      </c>
      <c r="F34" s="123" t="s">
        <v>64</v>
      </c>
      <c r="G34" s="126">
        <v>62.93</v>
      </c>
      <c r="H34" s="116">
        <v>1.08</v>
      </c>
      <c r="I34" s="116">
        <v>6</v>
      </c>
      <c r="J34" s="116" t="s">
        <v>61</v>
      </c>
      <c r="K34" s="34" t="s">
        <v>62</v>
      </c>
      <c r="L34" s="47">
        <v>0.7</v>
      </c>
      <c r="M34" s="129">
        <f>(G34-N34)/G34</f>
        <v>0.37899253138407757</v>
      </c>
      <c r="N34" s="116">
        <v>39.08</v>
      </c>
      <c r="O34" s="135">
        <f>(H34-P34)/H34</f>
        <v>-6.4814814814814659E-2</v>
      </c>
      <c r="P34" s="131">
        <v>1.1499999999999999</v>
      </c>
      <c r="Q34" s="109" t="s">
        <v>9</v>
      </c>
      <c r="R34" s="132" t="s">
        <v>76</v>
      </c>
      <c r="S34" s="1" t="s">
        <v>20</v>
      </c>
      <c r="T34" s="8" t="s">
        <v>68</v>
      </c>
      <c r="U34" s="6">
        <v>2.8</v>
      </c>
      <c r="V34" s="112" t="s">
        <v>23</v>
      </c>
      <c r="W34" s="127">
        <v>171.16</v>
      </c>
      <c r="X34" s="114">
        <v>3.66</v>
      </c>
      <c r="Y34" s="116">
        <v>13</v>
      </c>
      <c r="Z34" s="116" t="s">
        <v>77</v>
      </c>
      <c r="AA34" s="34" t="s">
        <v>62</v>
      </c>
      <c r="AB34" s="18">
        <v>0.7</v>
      </c>
      <c r="AC34" s="115">
        <f>(W34-AD34)/W34</f>
        <v>0.73743865389109609</v>
      </c>
      <c r="AD34" s="114">
        <v>44.94</v>
      </c>
      <c r="AE34" s="115">
        <f>(X34-AF34)/X34</f>
        <v>5.191256830601091E-2</v>
      </c>
      <c r="AF34" s="118">
        <v>3.47</v>
      </c>
      <c r="AG34" s="109" t="s">
        <v>9</v>
      </c>
      <c r="AH34" s="46" t="s">
        <v>49</v>
      </c>
      <c r="AI34" s="18">
        <v>1.1000000000000001</v>
      </c>
      <c r="AJ34" s="117">
        <f>((1/AI34)+AI35+AI36+AI37)/4</f>
        <v>2.5272727272727273</v>
      </c>
      <c r="AK34" s="115">
        <f>(W34-AL34)/W34</f>
        <v>0.68135078289319939</v>
      </c>
      <c r="AL34" s="114">
        <v>54.54</v>
      </c>
      <c r="AM34" s="115">
        <f>(X34-AN34)/X34</f>
        <v>5.191256830601091E-2</v>
      </c>
      <c r="AN34" s="118">
        <v>3.47</v>
      </c>
      <c r="AO34" s="123" t="s">
        <v>64</v>
      </c>
      <c r="AP34" s="132" t="s">
        <v>76</v>
      </c>
      <c r="AQ34" s="1" t="s">
        <v>20</v>
      </c>
      <c r="AR34" s="8" t="s">
        <v>68</v>
      </c>
      <c r="AS34" s="6">
        <v>2.8</v>
      </c>
      <c r="AT34" s="112" t="s">
        <v>23</v>
      </c>
      <c r="AU34" s="113">
        <v>125.17</v>
      </c>
      <c r="AV34" s="114">
        <v>3.24</v>
      </c>
      <c r="AW34" s="116">
        <v>20</v>
      </c>
      <c r="AX34" s="116" t="s">
        <v>65</v>
      </c>
      <c r="AY34" s="2" t="s">
        <v>53</v>
      </c>
      <c r="AZ34" s="7">
        <v>2.8</v>
      </c>
      <c r="BA34" s="115">
        <f>(AU34-BB34)/AU34</f>
        <v>0.60829272189821837</v>
      </c>
      <c r="BB34" s="114">
        <v>49.03</v>
      </c>
      <c r="BC34" s="115">
        <f>(AV34-BD34)/AV34</f>
        <v>2.1604938271605024E-2</v>
      </c>
      <c r="BD34" s="108">
        <v>3.17</v>
      </c>
      <c r="BE34" s="109" t="s">
        <v>9</v>
      </c>
    </row>
    <row r="35" spans="2:57" ht="12.75" customHeight="1" x14ac:dyDescent="0.25">
      <c r="B35" s="128"/>
      <c r="C35" s="1" t="s">
        <v>29</v>
      </c>
      <c r="D35" s="2" t="s">
        <v>72</v>
      </c>
      <c r="E35" s="7" t="s">
        <v>73</v>
      </c>
      <c r="F35" s="123"/>
      <c r="G35" s="126"/>
      <c r="H35" s="116"/>
      <c r="I35" s="116"/>
      <c r="J35" s="116"/>
      <c r="K35" s="34" t="s">
        <v>66</v>
      </c>
      <c r="L35" s="47">
        <v>1.7</v>
      </c>
      <c r="M35" s="129"/>
      <c r="N35" s="116"/>
      <c r="O35" s="135"/>
      <c r="P35" s="131"/>
      <c r="Q35" s="109"/>
      <c r="R35" s="132"/>
      <c r="S35" s="1" t="s">
        <v>29</v>
      </c>
      <c r="T35" s="2" t="s">
        <v>72</v>
      </c>
      <c r="U35" s="7" t="s">
        <v>73</v>
      </c>
      <c r="V35" s="112"/>
      <c r="W35" s="127"/>
      <c r="X35" s="114"/>
      <c r="Y35" s="116"/>
      <c r="Z35" s="116"/>
      <c r="AA35" s="34" t="s">
        <v>66</v>
      </c>
      <c r="AB35" s="18">
        <v>1.7</v>
      </c>
      <c r="AC35" s="115"/>
      <c r="AD35" s="114"/>
      <c r="AE35" s="115"/>
      <c r="AF35" s="118"/>
      <c r="AG35" s="109"/>
      <c r="AH35" s="34" t="s">
        <v>66</v>
      </c>
      <c r="AI35" s="18">
        <v>1.7</v>
      </c>
      <c r="AJ35" s="117"/>
      <c r="AK35" s="115"/>
      <c r="AL35" s="114"/>
      <c r="AM35" s="115"/>
      <c r="AN35" s="118"/>
      <c r="AO35" s="123"/>
      <c r="AP35" s="132"/>
      <c r="AQ35" s="1" t="s">
        <v>29</v>
      </c>
      <c r="AR35" s="2" t="s">
        <v>72</v>
      </c>
      <c r="AS35" s="7" t="s">
        <v>73</v>
      </c>
      <c r="AT35" s="112"/>
      <c r="AU35" s="113"/>
      <c r="AV35" s="114"/>
      <c r="AW35" s="116"/>
      <c r="AX35" s="116"/>
      <c r="AY35" s="34" t="s">
        <v>66</v>
      </c>
      <c r="AZ35" s="18">
        <v>1.7</v>
      </c>
      <c r="BA35" s="115"/>
      <c r="BB35" s="114"/>
      <c r="BC35" s="115"/>
      <c r="BD35" s="108"/>
      <c r="BE35" s="109"/>
    </row>
    <row r="36" spans="2:57" ht="12.75" customHeight="1" x14ac:dyDescent="0.25">
      <c r="B36" s="128"/>
      <c r="C36" s="1" t="s">
        <v>33</v>
      </c>
      <c r="D36" s="2" t="s">
        <v>72</v>
      </c>
      <c r="E36" s="7" t="s">
        <v>73</v>
      </c>
      <c r="F36" s="123"/>
      <c r="G36" s="126"/>
      <c r="H36" s="116"/>
      <c r="I36" s="116"/>
      <c r="J36" s="116"/>
      <c r="K36" s="34" t="s">
        <v>35</v>
      </c>
      <c r="L36" s="47">
        <v>4</v>
      </c>
      <c r="M36" s="129"/>
      <c r="N36" s="116"/>
      <c r="O36" s="135"/>
      <c r="P36" s="131"/>
      <c r="Q36" s="109"/>
      <c r="R36" s="132"/>
      <c r="S36" s="1" t="s">
        <v>33</v>
      </c>
      <c r="T36" s="2" t="s">
        <v>72</v>
      </c>
      <c r="U36" s="7" t="s">
        <v>73</v>
      </c>
      <c r="V36" s="112"/>
      <c r="W36" s="127"/>
      <c r="X36" s="114"/>
      <c r="Y36" s="116"/>
      <c r="Z36" s="116"/>
      <c r="AA36" s="45" t="s">
        <v>35</v>
      </c>
      <c r="AB36" s="18">
        <v>8</v>
      </c>
      <c r="AC36" s="115"/>
      <c r="AD36" s="114"/>
      <c r="AE36" s="115"/>
      <c r="AF36" s="118"/>
      <c r="AG36" s="109"/>
      <c r="AH36" s="45" t="s">
        <v>35</v>
      </c>
      <c r="AI36" s="18">
        <v>4</v>
      </c>
      <c r="AJ36" s="117"/>
      <c r="AK36" s="115"/>
      <c r="AL36" s="114"/>
      <c r="AM36" s="115"/>
      <c r="AN36" s="118"/>
      <c r="AO36" s="123"/>
      <c r="AP36" s="132"/>
      <c r="AQ36" s="1" t="s">
        <v>33</v>
      </c>
      <c r="AR36" s="2" t="s">
        <v>72</v>
      </c>
      <c r="AS36" s="7" t="s">
        <v>73</v>
      </c>
      <c r="AT36" s="112"/>
      <c r="AU36" s="113"/>
      <c r="AV36" s="114"/>
      <c r="AW36" s="116"/>
      <c r="AX36" s="116"/>
      <c r="AY36" s="45" t="s">
        <v>35</v>
      </c>
      <c r="AZ36" s="18">
        <v>4</v>
      </c>
      <c r="BA36" s="115"/>
      <c r="BB36" s="114"/>
      <c r="BC36" s="115"/>
      <c r="BD36" s="108"/>
      <c r="BE36" s="109"/>
    </row>
    <row r="37" spans="2:57" ht="12.75" customHeight="1" x14ac:dyDescent="0.25">
      <c r="B37" s="128"/>
      <c r="C37" s="1" t="s">
        <v>36</v>
      </c>
      <c r="D37" s="2" t="s">
        <v>72</v>
      </c>
      <c r="E37" s="7" t="s">
        <v>75</v>
      </c>
      <c r="F37" s="123"/>
      <c r="G37" s="126"/>
      <c r="H37" s="116"/>
      <c r="I37" s="116"/>
      <c r="J37" s="116"/>
      <c r="K37" s="34" t="s">
        <v>38</v>
      </c>
      <c r="L37" s="47">
        <v>3.5</v>
      </c>
      <c r="M37" s="129"/>
      <c r="N37" s="116"/>
      <c r="O37" s="135"/>
      <c r="P37" s="131"/>
      <c r="Q37" s="109"/>
      <c r="R37" s="132"/>
      <c r="S37" s="1" t="s">
        <v>36</v>
      </c>
      <c r="T37" s="2" t="s">
        <v>72</v>
      </c>
      <c r="U37" s="7" t="s">
        <v>75</v>
      </c>
      <c r="V37" s="112"/>
      <c r="W37" s="127"/>
      <c r="X37" s="114"/>
      <c r="Y37" s="116"/>
      <c r="Z37" s="116"/>
      <c r="AA37" s="45" t="s">
        <v>38</v>
      </c>
      <c r="AB37" s="18">
        <v>3.5</v>
      </c>
      <c r="AC37" s="115"/>
      <c r="AD37" s="114"/>
      <c r="AE37" s="115"/>
      <c r="AF37" s="118"/>
      <c r="AG37" s="109"/>
      <c r="AH37" s="45" t="s">
        <v>38</v>
      </c>
      <c r="AI37" s="18">
        <v>3.5</v>
      </c>
      <c r="AJ37" s="117"/>
      <c r="AK37" s="115"/>
      <c r="AL37" s="114"/>
      <c r="AM37" s="115"/>
      <c r="AN37" s="118"/>
      <c r="AO37" s="123"/>
      <c r="AP37" s="132"/>
      <c r="AQ37" s="1" t="s">
        <v>36</v>
      </c>
      <c r="AR37" s="2" t="s">
        <v>72</v>
      </c>
      <c r="AS37" s="7" t="s">
        <v>75</v>
      </c>
      <c r="AT37" s="112"/>
      <c r="AU37" s="113"/>
      <c r="AV37" s="114"/>
      <c r="AW37" s="116"/>
      <c r="AX37" s="116"/>
      <c r="AY37" s="45" t="s">
        <v>38</v>
      </c>
      <c r="AZ37" s="18">
        <v>3.5</v>
      </c>
      <c r="BA37" s="115"/>
      <c r="BB37" s="114"/>
      <c r="BC37" s="115"/>
      <c r="BD37" s="108"/>
      <c r="BE37" s="109"/>
    </row>
    <row r="38" spans="2:57" ht="12.75" customHeight="1" x14ac:dyDescent="0.25">
      <c r="B38" s="128"/>
      <c r="C38" s="1" t="s">
        <v>39</v>
      </c>
      <c r="D38" s="44" t="s">
        <v>41</v>
      </c>
      <c r="E38" s="5">
        <v>5.0000000000000001E-4</v>
      </c>
      <c r="F38" s="123"/>
      <c r="G38" s="126"/>
      <c r="H38" s="116"/>
      <c r="I38" s="116"/>
      <c r="J38" s="116"/>
      <c r="K38" s="8" t="s">
        <v>41</v>
      </c>
      <c r="L38" s="48">
        <v>5.0000000000000001E-4</v>
      </c>
      <c r="M38" s="129"/>
      <c r="N38" s="116"/>
      <c r="O38" s="135"/>
      <c r="P38" s="131"/>
      <c r="Q38" s="109"/>
      <c r="R38" s="132"/>
      <c r="S38" s="1" t="s">
        <v>39</v>
      </c>
      <c r="T38" s="44" t="s">
        <v>41</v>
      </c>
      <c r="U38" s="5">
        <v>5.0000000000000001E-4</v>
      </c>
      <c r="V38" s="112"/>
      <c r="W38" s="127"/>
      <c r="X38" s="114"/>
      <c r="Y38" s="116"/>
      <c r="Z38" s="116"/>
      <c r="AA38" s="45" t="s">
        <v>42</v>
      </c>
      <c r="AB38" s="19">
        <v>2.9999999999999997E-4</v>
      </c>
      <c r="AC38" s="115"/>
      <c r="AD38" s="114"/>
      <c r="AE38" s="115"/>
      <c r="AF38" s="118"/>
      <c r="AG38" s="109"/>
      <c r="AH38" s="45" t="s">
        <v>42</v>
      </c>
      <c r="AI38" s="19">
        <v>2.9999999999999997E-4</v>
      </c>
      <c r="AJ38" s="117"/>
      <c r="AK38" s="115"/>
      <c r="AL38" s="114"/>
      <c r="AM38" s="115"/>
      <c r="AN38" s="118"/>
      <c r="AO38" s="123"/>
      <c r="AP38" s="132"/>
      <c r="AQ38" s="1" t="s">
        <v>39</v>
      </c>
      <c r="AR38" s="44" t="s">
        <v>41</v>
      </c>
      <c r="AS38" s="5">
        <v>5.0000000000000001E-4</v>
      </c>
      <c r="AT38" s="112"/>
      <c r="AU38" s="113"/>
      <c r="AV38" s="114"/>
      <c r="AW38" s="116"/>
      <c r="AX38" s="116"/>
      <c r="AY38" s="45" t="s">
        <v>42</v>
      </c>
      <c r="AZ38" s="19">
        <v>2.9999999999999997E-4</v>
      </c>
      <c r="BA38" s="115"/>
      <c r="BB38" s="114"/>
      <c r="BC38" s="115"/>
      <c r="BD38" s="108"/>
      <c r="BE38" s="109"/>
    </row>
    <row r="39" spans="2:57" ht="14.25" customHeight="1" x14ac:dyDescent="0.25">
      <c r="B39" s="128"/>
      <c r="C39" s="1" t="s">
        <v>43</v>
      </c>
      <c r="D39" s="110" t="s">
        <v>45</v>
      </c>
      <c r="E39" s="110"/>
      <c r="F39" s="123"/>
      <c r="G39" s="126"/>
      <c r="H39" s="116"/>
      <c r="I39" s="116"/>
      <c r="J39" s="116"/>
      <c r="K39" s="125" t="s">
        <v>45</v>
      </c>
      <c r="L39" s="125"/>
      <c r="M39" s="129"/>
      <c r="N39" s="116"/>
      <c r="O39" s="135"/>
      <c r="P39" s="131"/>
      <c r="Q39" s="109"/>
      <c r="R39" s="132"/>
      <c r="S39" s="1" t="s">
        <v>43</v>
      </c>
      <c r="T39" s="110" t="s">
        <v>45</v>
      </c>
      <c r="U39" s="110"/>
      <c r="V39" s="112"/>
      <c r="W39" s="127"/>
      <c r="X39" s="114"/>
      <c r="Y39" s="116"/>
      <c r="Z39" s="116"/>
      <c r="AA39" s="111" t="s">
        <v>46</v>
      </c>
      <c r="AB39" s="111"/>
      <c r="AC39" s="115"/>
      <c r="AD39" s="114"/>
      <c r="AE39" s="115"/>
      <c r="AF39" s="118"/>
      <c r="AG39" s="109"/>
      <c r="AH39" s="111" t="s">
        <v>46</v>
      </c>
      <c r="AI39" s="111"/>
      <c r="AJ39" s="117"/>
      <c r="AK39" s="115"/>
      <c r="AL39" s="114"/>
      <c r="AM39" s="115"/>
      <c r="AN39" s="118"/>
      <c r="AO39" s="123"/>
      <c r="AP39" s="132"/>
      <c r="AQ39" s="1" t="s">
        <v>43</v>
      </c>
      <c r="AR39" s="110" t="s">
        <v>45</v>
      </c>
      <c r="AS39" s="110"/>
      <c r="AT39" s="112"/>
      <c r="AU39" s="113"/>
      <c r="AV39" s="114"/>
      <c r="AW39" s="116"/>
      <c r="AX39" s="116"/>
      <c r="AY39" s="111" t="s">
        <v>46</v>
      </c>
      <c r="AZ39" s="111"/>
      <c r="BA39" s="115"/>
      <c r="BB39" s="114"/>
      <c r="BC39" s="115"/>
      <c r="BD39" s="108"/>
      <c r="BE39" s="109"/>
    </row>
    <row r="40" spans="2:57" ht="12.75" customHeight="1" x14ac:dyDescent="0.25">
      <c r="B40" s="128" t="s">
        <v>78</v>
      </c>
      <c r="C40" s="1" t="s">
        <v>20</v>
      </c>
      <c r="D40" s="8" t="s">
        <v>68</v>
      </c>
      <c r="E40" s="6">
        <v>2.8</v>
      </c>
      <c r="F40" s="123" t="s">
        <v>64</v>
      </c>
      <c r="G40" s="126">
        <v>41.48</v>
      </c>
      <c r="H40" s="116">
        <v>1</v>
      </c>
      <c r="I40" s="116">
        <v>7</v>
      </c>
      <c r="J40" s="116" t="s">
        <v>79</v>
      </c>
      <c r="K40" s="34" t="s">
        <v>49</v>
      </c>
      <c r="L40" s="47">
        <v>1.1000000000000001</v>
      </c>
      <c r="M40" s="129">
        <f>(G40-N40)/G40</f>
        <v>0.15453230472516868</v>
      </c>
      <c r="N40" s="126">
        <v>35.07</v>
      </c>
      <c r="O40" s="135">
        <f>(H40-P40)/H40</f>
        <v>-0.1399999999999999</v>
      </c>
      <c r="P40" s="133">
        <v>1.1399999999999999</v>
      </c>
      <c r="Q40" s="109" t="s">
        <v>9</v>
      </c>
      <c r="R40" s="132" t="s">
        <v>80</v>
      </c>
      <c r="S40" s="1" t="s">
        <v>20</v>
      </c>
      <c r="T40" s="8" t="s">
        <v>68</v>
      </c>
      <c r="U40" s="7" t="s">
        <v>54</v>
      </c>
      <c r="V40" s="112" t="s">
        <v>23</v>
      </c>
      <c r="W40" s="127">
        <v>143.87</v>
      </c>
      <c r="X40" s="114">
        <v>3.6</v>
      </c>
      <c r="Y40" s="116">
        <v>14</v>
      </c>
      <c r="Z40" s="116" t="s">
        <v>81</v>
      </c>
      <c r="AA40" s="34" t="s">
        <v>49</v>
      </c>
      <c r="AB40" s="18">
        <v>1.1000000000000001</v>
      </c>
      <c r="AC40" s="115">
        <f>(W40-AD40)/W40</f>
        <v>0.68805171335233206</v>
      </c>
      <c r="AD40" s="114">
        <v>44.88</v>
      </c>
      <c r="AE40" s="115">
        <f>(X40-AF40)/X40</f>
        <v>7.4999999999999997E-2</v>
      </c>
      <c r="AF40" s="118">
        <v>3.33</v>
      </c>
      <c r="AG40" s="109" t="s">
        <v>9</v>
      </c>
      <c r="AH40" s="41"/>
      <c r="AI40" s="41"/>
      <c r="AJ40" s="41"/>
      <c r="AK40" s="41"/>
      <c r="AL40" s="41"/>
      <c r="AM40" s="41"/>
      <c r="AN40" s="41"/>
      <c r="AO40" s="41"/>
      <c r="AP40" s="132" t="s">
        <v>78</v>
      </c>
      <c r="AQ40" s="1" t="s">
        <v>20</v>
      </c>
      <c r="AR40" s="8" t="s">
        <v>68</v>
      </c>
      <c r="AS40" s="7" t="s">
        <v>54</v>
      </c>
      <c r="AT40" s="112" t="s">
        <v>23</v>
      </c>
      <c r="AU40" s="113">
        <v>104.87</v>
      </c>
      <c r="AV40" s="114">
        <v>3.41</v>
      </c>
      <c r="AW40" s="116">
        <v>21</v>
      </c>
      <c r="AX40" s="116" t="s">
        <v>82</v>
      </c>
      <c r="AY40" s="2" t="s">
        <v>53</v>
      </c>
      <c r="AZ40" s="7">
        <v>2.8</v>
      </c>
      <c r="BA40" s="115">
        <f>(AU40-BB40)/AU40</f>
        <v>0.55154000190712316</v>
      </c>
      <c r="BB40" s="114">
        <v>47.03</v>
      </c>
      <c r="BC40" s="115">
        <f>(AV40-BD40)/AV40</f>
        <v>7.9178885630498533E-2</v>
      </c>
      <c r="BD40" s="108">
        <v>3.14</v>
      </c>
      <c r="BE40" s="109" t="s">
        <v>9</v>
      </c>
    </row>
    <row r="41" spans="2:57" ht="12.75" customHeight="1" x14ac:dyDescent="0.25">
      <c r="B41" s="128"/>
      <c r="C41" s="1" t="s">
        <v>29</v>
      </c>
      <c r="D41" s="2" t="s">
        <v>83</v>
      </c>
      <c r="E41" s="4">
        <v>2.5299999999999998</v>
      </c>
      <c r="F41" s="123"/>
      <c r="G41" s="126"/>
      <c r="H41" s="116"/>
      <c r="I41" s="116"/>
      <c r="J41" s="116"/>
      <c r="K41" s="49" t="s">
        <v>83</v>
      </c>
      <c r="L41" s="35">
        <v>2.5299999999999998</v>
      </c>
      <c r="M41" s="129"/>
      <c r="N41" s="126"/>
      <c r="O41" s="135"/>
      <c r="P41" s="133"/>
      <c r="Q41" s="109"/>
      <c r="R41" s="132"/>
      <c r="S41" s="1" t="s">
        <v>29</v>
      </c>
      <c r="T41" s="2" t="s">
        <v>83</v>
      </c>
      <c r="U41" s="4">
        <v>2.5299999999999998</v>
      </c>
      <c r="V41" s="112"/>
      <c r="W41" s="127"/>
      <c r="X41" s="114"/>
      <c r="Y41" s="116"/>
      <c r="Z41" s="116"/>
      <c r="AA41" s="2" t="s">
        <v>83</v>
      </c>
      <c r="AB41" s="4">
        <v>2.5299999999999998</v>
      </c>
      <c r="AC41" s="115"/>
      <c r="AD41" s="114"/>
      <c r="AE41" s="115"/>
      <c r="AF41" s="118"/>
      <c r="AG41" s="109"/>
      <c r="AH41" s="41"/>
      <c r="AI41" s="41"/>
      <c r="AJ41" s="41"/>
      <c r="AK41" s="41"/>
      <c r="AL41" s="41"/>
      <c r="AM41" s="41"/>
      <c r="AN41" s="41"/>
      <c r="AO41" s="41"/>
      <c r="AP41" s="132"/>
      <c r="AQ41" s="1" t="s">
        <v>29</v>
      </c>
      <c r="AR41" s="2" t="s">
        <v>83</v>
      </c>
      <c r="AS41" s="4">
        <v>2.5299999999999998</v>
      </c>
      <c r="AT41" s="112"/>
      <c r="AU41" s="113"/>
      <c r="AV41" s="114"/>
      <c r="AW41" s="116"/>
      <c r="AX41" s="116"/>
      <c r="AY41" s="2" t="s">
        <v>83</v>
      </c>
      <c r="AZ41" s="4">
        <v>2.5299999999999998</v>
      </c>
      <c r="BA41" s="115"/>
      <c r="BB41" s="114"/>
      <c r="BC41" s="115"/>
      <c r="BD41" s="108"/>
      <c r="BE41" s="109"/>
    </row>
    <row r="42" spans="2:57" ht="12.75" customHeight="1" x14ac:dyDescent="0.25">
      <c r="B42" s="128"/>
      <c r="C42" s="1" t="s">
        <v>33</v>
      </c>
      <c r="D42" s="2" t="s">
        <v>83</v>
      </c>
      <c r="E42" s="6">
        <v>2.5299999999999998</v>
      </c>
      <c r="F42" s="123"/>
      <c r="G42" s="126"/>
      <c r="H42" s="116"/>
      <c r="I42" s="116"/>
      <c r="J42" s="116"/>
      <c r="K42" s="34" t="s">
        <v>35</v>
      </c>
      <c r="L42" s="47">
        <v>8</v>
      </c>
      <c r="M42" s="129"/>
      <c r="N42" s="126"/>
      <c r="O42" s="135"/>
      <c r="P42" s="133"/>
      <c r="Q42" s="109"/>
      <c r="R42" s="132"/>
      <c r="S42" s="1" t="s">
        <v>33</v>
      </c>
      <c r="T42" s="2" t="s">
        <v>83</v>
      </c>
      <c r="U42" s="6">
        <v>2.5299999999999998</v>
      </c>
      <c r="V42" s="112"/>
      <c r="W42" s="127"/>
      <c r="X42" s="114"/>
      <c r="Y42" s="116"/>
      <c r="Z42" s="116"/>
      <c r="AA42" s="45" t="s">
        <v>35</v>
      </c>
      <c r="AB42" s="18">
        <v>8</v>
      </c>
      <c r="AC42" s="115"/>
      <c r="AD42" s="114"/>
      <c r="AE42" s="115"/>
      <c r="AF42" s="118"/>
      <c r="AG42" s="109"/>
      <c r="AH42" s="41"/>
      <c r="AI42" s="41"/>
      <c r="AJ42" s="41"/>
      <c r="AK42" s="41"/>
      <c r="AL42" s="41"/>
      <c r="AM42" s="41"/>
      <c r="AN42" s="41"/>
      <c r="AO42" s="41"/>
      <c r="AP42" s="132"/>
      <c r="AQ42" s="1" t="s">
        <v>33</v>
      </c>
      <c r="AR42" s="2" t="s">
        <v>83</v>
      </c>
      <c r="AS42" s="6">
        <v>2.5299999999999998</v>
      </c>
      <c r="AT42" s="112"/>
      <c r="AU42" s="113"/>
      <c r="AV42" s="114"/>
      <c r="AW42" s="116"/>
      <c r="AX42" s="116"/>
      <c r="AY42" s="45" t="s">
        <v>35</v>
      </c>
      <c r="AZ42" s="18">
        <v>4</v>
      </c>
      <c r="BA42" s="115"/>
      <c r="BB42" s="114"/>
      <c r="BC42" s="115"/>
      <c r="BD42" s="108"/>
      <c r="BE42" s="109"/>
    </row>
    <row r="43" spans="2:57" ht="12.75" customHeight="1" x14ac:dyDescent="0.25">
      <c r="B43" s="128"/>
      <c r="C43" s="1" t="s">
        <v>36</v>
      </c>
      <c r="D43" s="2" t="s">
        <v>83</v>
      </c>
      <c r="E43" s="6">
        <v>2.5299999999999998</v>
      </c>
      <c r="F43" s="123"/>
      <c r="G43" s="126"/>
      <c r="H43" s="116"/>
      <c r="I43" s="116"/>
      <c r="J43" s="116"/>
      <c r="K43" s="45" t="s">
        <v>38</v>
      </c>
      <c r="L43" s="18">
        <v>3.5</v>
      </c>
      <c r="M43" s="129"/>
      <c r="N43" s="126"/>
      <c r="O43" s="135"/>
      <c r="P43" s="133"/>
      <c r="Q43" s="109"/>
      <c r="R43" s="132"/>
      <c r="S43" s="1" t="s">
        <v>36</v>
      </c>
      <c r="T43" s="2" t="s">
        <v>83</v>
      </c>
      <c r="U43" s="6">
        <v>2.5299999999999998</v>
      </c>
      <c r="V43" s="112"/>
      <c r="W43" s="127"/>
      <c r="X43" s="114"/>
      <c r="Y43" s="116"/>
      <c r="Z43" s="116"/>
      <c r="AA43" s="45" t="s">
        <v>38</v>
      </c>
      <c r="AB43" s="18">
        <v>3.5</v>
      </c>
      <c r="AC43" s="115"/>
      <c r="AD43" s="114"/>
      <c r="AE43" s="115"/>
      <c r="AF43" s="118"/>
      <c r="AG43" s="109"/>
      <c r="AH43" s="41"/>
      <c r="AI43" s="41"/>
      <c r="AJ43" s="41"/>
      <c r="AK43" s="41"/>
      <c r="AL43" s="41"/>
      <c r="AM43" s="41"/>
      <c r="AN43" s="41"/>
      <c r="AO43" s="41"/>
      <c r="AP43" s="132"/>
      <c r="AQ43" s="1" t="s">
        <v>36</v>
      </c>
      <c r="AR43" s="2" t="s">
        <v>83</v>
      </c>
      <c r="AS43" s="6">
        <v>2.5299999999999998</v>
      </c>
      <c r="AT43" s="112"/>
      <c r="AU43" s="113"/>
      <c r="AV43" s="114"/>
      <c r="AW43" s="116"/>
      <c r="AX43" s="116"/>
      <c r="AY43" s="45" t="s">
        <v>38</v>
      </c>
      <c r="AZ43" s="18">
        <v>3.5</v>
      </c>
      <c r="BA43" s="115"/>
      <c r="BB43" s="114"/>
      <c r="BC43" s="115"/>
      <c r="BD43" s="108"/>
      <c r="BE43" s="109"/>
    </row>
    <row r="44" spans="2:57" ht="12.75" customHeight="1" x14ac:dyDescent="0.25">
      <c r="B44" s="128"/>
      <c r="C44" s="1" t="s">
        <v>39</v>
      </c>
      <c r="D44" s="44" t="s">
        <v>41</v>
      </c>
      <c r="E44" s="5">
        <v>5.0000000000000001E-4</v>
      </c>
      <c r="F44" s="123"/>
      <c r="G44" s="126"/>
      <c r="H44" s="116"/>
      <c r="I44" s="116"/>
      <c r="J44" s="116"/>
      <c r="K44" s="50" t="s">
        <v>41</v>
      </c>
      <c r="L44" s="5">
        <v>5.0000000000000001E-4</v>
      </c>
      <c r="M44" s="129"/>
      <c r="N44" s="126"/>
      <c r="O44" s="135"/>
      <c r="P44" s="133"/>
      <c r="Q44" s="109"/>
      <c r="R44" s="132"/>
      <c r="S44" s="1" t="s">
        <v>39</v>
      </c>
      <c r="T44" s="44" t="s">
        <v>41</v>
      </c>
      <c r="U44" s="5">
        <v>5.0000000000000001E-4</v>
      </c>
      <c r="V44" s="112"/>
      <c r="W44" s="127"/>
      <c r="X44" s="114"/>
      <c r="Y44" s="116"/>
      <c r="Z44" s="116"/>
      <c r="AA44" s="45" t="s">
        <v>42</v>
      </c>
      <c r="AB44" s="19">
        <v>2.9999999999999997E-4</v>
      </c>
      <c r="AC44" s="115"/>
      <c r="AD44" s="114"/>
      <c r="AE44" s="115"/>
      <c r="AF44" s="118"/>
      <c r="AG44" s="109"/>
      <c r="AH44" s="41"/>
      <c r="AI44" s="41"/>
      <c r="AJ44" s="41"/>
      <c r="AK44" s="41"/>
      <c r="AL44" s="41"/>
      <c r="AM44" s="41"/>
      <c r="AN44" s="41"/>
      <c r="AO44" s="41"/>
      <c r="AP44" s="132"/>
      <c r="AQ44" s="1" t="s">
        <v>39</v>
      </c>
      <c r="AR44" s="44" t="s">
        <v>41</v>
      </c>
      <c r="AS44" s="5">
        <v>5.0000000000000001E-4</v>
      </c>
      <c r="AT44" s="112"/>
      <c r="AU44" s="113"/>
      <c r="AV44" s="114"/>
      <c r="AW44" s="116"/>
      <c r="AX44" s="116"/>
      <c r="AY44" s="45" t="s">
        <v>42</v>
      </c>
      <c r="AZ44" s="19">
        <v>2.9999999999999997E-4</v>
      </c>
      <c r="BA44" s="115"/>
      <c r="BB44" s="114"/>
      <c r="BC44" s="115"/>
      <c r="BD44" s="108"/>
      <c r="BE44" s="109"/>
    </row>
    <row r="45" spans="2:57" x14ac:dyDescent="0.25">
      <c r="B45" s="128"/>
      <c r="C45" s="1" t="s">
        <v>43</v>
      </c>
      <c r="D45" s="110" t="s">
        <v>45</v>
      </c>
      <c r="E45" s="110"/>
      <c r="F45" s="123"/>
      <c r="G45" s="126"/>
      <c r="H45" s="116"/>
      <c r="I45" s="116"/>
      <c r="J45" s="116"/>
      <c r="K45" s="125" t="s">
        <v>45</v>
      </c>
      <c r="L45" s="125"/>
      <c r="M45" s="129"/>
      <c r="N45" s="126"/>
      <c r="O45" s="135"/>
      <c r="P45" s="133"/>
      <c r="Q45" s="109"/>
      <c r="R45" s="132"/>
      <c r="S45" s="1" t="s">
        <v>43</v>
      </c>
      <c r="T45" s="110" t="s">
        <v>45</v>
      </c>
      <c r="U45" s="110"/>
      <c r="V45" s="112"/>
      <c r="W45" s="127"/>
      <c r="X45" s="114"/>
      <c r="Y45" s="116"/>
      <c r="Z45" s="116"/>
      <c r="AA45" s="111" t="s">
        <v>46</v>
      </c>
      <c r="AB45" s="111"/>
      <c r="AC45" s="115"/>
      <c r="AD45" s="114"/>
      <c r="AE45" s="115"/>
      <c r="AF45" s="118"/>
      <c r="AG45" s="109"/>
      <c r="AH45" s="41"/>
      <c r="AI45" s="41"/>
      <c r="AJ45" s="41"/>
      <c r="AK45" s="41"/>
      <c r="AL45" s="41"/>
      <c r="AM45" s="41"/>
      <c r="AN45" s="41"/>
      <c r="AO45" s="41"/>
      <c r="AP45" s="132"/>
      <c r="AQ45" s="1" t="s">
        <v>43</v>
      </c>
      <c r="AR45" s="110" t="s">
        <v>45</v>
      </c>
      <c r="AS45" s="110"/>
      <c r="AT45" s="112"/>
      <c r="AU45" s="113"/>
      <c r="AV45" s="114"/>
      <c r="AW45" s="116"/>
      <c r="AX45" s="116"/>
      <c r="AY45" s="111" t="s">
        <v>46</v>
      </c>
      <c r="AZ45" s="111"/>
      <c r="BA45" s="115"/>
      <c r="BB45" s="114"/>
      <c r="BC45" s="115"/>
      <c r="BD45" s="108"/>
      <c r="BE45" s="109"/>
    </row>
    <row r="47" spans="2:57" x14ac:dyDescent="0.25">
      <c r="K47" s="43" t="s">
        <v>84</v>
      </c>
    </row>
    <row r="48" spans="2:57" x14ac:dyDescent="0.25">
      <c r="K48" s="52" t="s">
        <v>85</v>
      </c>
    </row>
    <row r="60" spans="7:7" ht="14.4" x14ac:dyDescent="0.3">
      <c r="G60" s="11"/>
    </row>
  </sheetData>
  <mergeCells count="303">
    <mergeCell ref="AS1:BE1"/>
    <mergeCell ref="AY2:BE2"/>
    <mergeCell ref="I22:I27"/>
    <mergeCell ref="I28:I33"/>
    <mergeCell ref="I34:I39"/>
    <mergeCell ref="I40:I45"/>
    <mergeCell ref="Y4:Y9"/>
    <mergeCell ref="Y10:Y15"/>
    <mergeCell ref="Y16:Y21"/>
    <mergeCell ref="Y22:Y27"/>
    <mergeCell ref="Y28:Y33"/>
    <mergeCell ref="Y34:Y39"/>
    <mergeCell ref="Y40:Y45"/>
    <mergeCell ref="J28:J33"/>
    <mergeCell ref="J34:J39"/>
    <mergeCell ref="J40:J45"/>
    <mergeCell ref="C2:J2"/>
    <mergeCell ref="Z4:Z9"/>
    <mergeCell ref="AP4:AP9"/>
    <mergeCell ref="AP10:AP15"/>
    <mergeCell ref="AP16:AP21"/>
    <mergeCell ref="AP22:AP27"/>
    <mergeCell ref="AP28:AP33"/>
    <mergeCell ref="AP34:AP39"/>
    <mergeCell ref="AP40:AP45"/>
    <mergeCell ref="AE4:AE9"/>
    <mergeCell ref="AC10:AC15"/>
    <mergeCell ref="AE10:AE15"/>
    <mergeCell ref="AC4:AC9"/>
    <mergeCell ref="AD22:AD27"/>
    <mergeCell ref="AG40:AG45"/>
    <mergeCell ref="AD40:AD45"/>
    <mergeCell ref="AF40:AF45"/>
    <mergeCell ref="AC40:AC45"/>
    <mergeCell ref="AE40:AE45"/>
    <mergeCell ref="AF22:AF27"/>
    <mergeCell ref="AG16:AG21"/>
    <mergeCell ref="AD16:AD21"/>
    <mergeCell ref="AF16:AF21"/>
    <mergeCell ref="AC16:AC21"/>
    <mergeCell ref="AO34:AO39"/>
    <mergeCell ref="AE16:AE21"/>
    <mergeCell ref="AC22:AC27"/>
    <mergeCell ref="AG28:AG33"/>
    <mergeCell ref="AE22:AE27"/>
    <mergeCell ref="AL34:AL39"/>
    <mergeCell ref="AM34:AM39"/>
    <mergeCell ref="AN34:AN39"/>
    <mergeCell ref="P10:P15"/>
    <mergeCell ref="Q10:Q15"/>
    <mergeCell ref="R40:R45"/>
    <mergeCell ref="R34:R39"/>
    <mergeCell ref="T39:U39"/>
    <mergeCell ref="AA39:AB39"/>
    <mergeCell ref="T21:U21"/>
    <mergeCell ref="AA21:AB21"/>
    <mergeCell ref="V16:V21"/>
    <mergeCell ref="W16:W21"/>
    <mergeCell ref="X16:X21"/>
    <mergeCell ref="V22:V27"/>
    <mergeCell ref="W22:W27"/>
    <mergeCell ref="R10:R15"/>
    <mergeCell ref="R16:R21"/>
    <mergeCell ref="AA45:AB45"/>
    <mergeCell ref="V40:V45"/>
    <mergeCell ref="W40:W45"/>
    <mergeCell ref="X22:X27"/>
    <mergeCell ref="X40:X45"/>
    <mergeCell ref="T45:U45"/>
    <mergeCell ref="Z40:Z45"/>
    <mergeCell ref="P16:P21"/>
    <mergeCell ref="Q16:Q21"/>
    <mergeCell ref="M16:M21"/>
    <mergeCell ref="M22:M27"/>
    <mergeCell ref="M28:M33"/>
    <mergeCell ref="O10:O15"/>
    <mergeCell ref="O16:O21"/>
    <mergeCell ref="O22:O27"/>
    <mergeCell ref="O28:O33"/>
    <mergeCell ref="O34:O39"/>
    <mergeCell ref="O40:O45"/>
    <mergeCell ref="N16:N21"/>
    <mergeCell ref="Z16:Z21"/>
    <mergeCell ref="Z22:Z27"/>
    <mergeCell ref="Z28:Z33"/>
    <mergeCell ref="R22:R27"/>
    <mergeCell ref="R28:R33"/>
    <mergeCell ref="T33:U33"/>
    <mergeCell ref="Z34:Z39"/>
    <mergeCell ref="T2:Y2"/>
    <mergeCell ref="AB2:AI2"/>
    <mergeCell ref="T27:U27"/>
    <mergeCell ref="AA27:AB27"/>
    <mergeCell ref="AG34:AG39"/>
    <mergeCell ref="V34:V39"/>
    <mergeCell ref="AF34:AF39"/>
    <mergeCell ref="AA33:AB33"/>
    <mergeCell ref="V28:V33"/>
    <mergeCell ref="AH39:AI39"/>
    <mergeCell ref="T15:U15"/>
    <mergeCell ref="AA15:AB15"/>
    <mergeCell ref="AG22:AG27"/>
    <mergeCell ref="Z10:Z15"/>
    <mergeCell ref="F40:F45"/>
    <mergeCell ref="N40:N45"/>
    <mergeCell ref="K39:L39"/>
    <mergeCell ref="N34:N39"/>
    <mergeCell ref="P34:P39"/>
    <mergeCell ref="Q34:Q39"/>
    <mergeCell ref="N22:N27"/>
    <mergeCell ref="P22:P27"/>
    <mergeCell ref="Q22:Q27"/>
    <mergeCell ref="P40:P45"/>
    <mergeCell ref="Q40:Q45"/>
    <mergeCell ref="F22:F27"/>
    <mergeCell ref="M40:M45"/>
    <mergeCell ref="H34:H39"/>
    <mergeCell ref="M34:M39"/>
    <mergeCell ref="B40:B45"/>
    <mergeCell ref="T1:AI1"/>
    <mergeCell ref="V4:V9"/>
    <mergeCell ref="W4:W9"/>
    <mergeCell ref="X4:X9"/>
    <mergeCell ref="AD4:AD9"/>
    <mergeCell ref="AF4:AF9"/>
    <mergeCell ref="AG4:AG9"/>
    <mergeCell ref="V10:V15"/>
    <mergeCell ref="W10:W15"/>
    <mergeCell ref="X10:X15"/>
    <mergeCell ref="AD10:AD15"/>
    <mergeCell ref="AF10:AF15"/>
    <mergeCell ref="N28:N33"/>
    <mergeCell ref="P28:P33"/>
    <mergeCell ref="Q28:Q33"/>
    <mergeCell ref="B34:B39"/>
    <mergeCell ref="B28:B33"/>
    <mergeCell ref="D39:E39"/>
    <mergeCell ref="B22:B27"/>
    <mergeCell ref="B16:B21"/>
    <mergeCell ref="AG10:AG15"/>
    <mergeCell ref="T9:U9"/>
    <mergeCell ref="AA9:AB9"/>
    <mergeCell ref="C1:R1"/>
    <mergeCell ref="F4:F9"/>
    <mergeCell ref="G4:G9"/>
    <mergeCell ref="H4:H9"/>
    <mergeCell ref="Q4:Q9"/>
    <mergeCell ref="P4:P9"/>
    <mergeCell ref="N4:N9"/>
    <mergeCell ref="K9:L9"/>
    <mergeCell ref="D9:E9"/>
    <mergeCell ref="K2:R2"/>
    <mergeCell ref="M4:M9"/>
    <mergeCell ref="O4:O9"/>
    <mergeCell ref="I4:I9"/>
    <mergeCell ref="R4:R9"/>
    <mergeCell ref="D27:E27"/>
    <mergeCell ref="G22:G27"/>
    <mergeCell ref="H22:H27"/>
    <mergeCell ref="K27:L27"/>
    <mergeCell ref="N10:N15"/>
    <mergeCell ref="B4:B9"/>
    <mergeCell ref="D15:E15"/>
    <mergeCell ref="K15:L15"/>
    <mergeCell ref="F10:F15"/>
    <mergeCell ref="B10:B15"/>
    <mergeCell ref="G10:G15"/>
    <mergeCell ref="H10:H15"/>
    <mergeCell ref="D21:E21"/>
    <mergeCell ref="K21:L21"/>
    <mergeCell ref="J4:J9"/>
    <mergeCell ref="J10:J15"/>
    <mergeCell ref="J16:J21"/>
    <mergeCell ref="J22:J27"/>
    <mergeCell ref="I10:I15"/>
    <mergeCell ref="I16:I21"/>
    <mergeCell ref="H16:H21"/>
    <mergeCell ref="F16:F21"/>
    <mergeCell ref="G16:G21"/>
    <mergeCell ref="M10:M15"/>
    <mergeCell ref="D45:E45"/>
    <mergeCell ref="K45:L45"/>
    <mergeCell ref="AJ34:AJ39"/>
    <mergeCell ref="AK34:AK39"/>
    <mergeCell ref="H40:H45"/>
    <mergeCell ref="G40:G45"/>
    <mergeCell ref="D33:E33"/>
    <mergeCell ref="F28:F33"/>
    <mergeCell ref="G28:G33"/>
    <mergeCell ref="H28:H33"/>
    <mergeCell ref="K33:L33"/>
    <mergeCell ref="F34:F39"/>
    <mergeCell ref="G34:G39"/>
    <mergeCell ref="W28:W33"/>
    <mergeCell ref="X28:X33"/>
    <mergeCell ref="AD28:AD33"/>
    <mergeCell ref="AF28:AF33"/>
    <mergeCell ref="AC28:AC33"/>
    <mergeCell ref="AC34:AC39"/>
    <mergeCell ref="AE28:AE33"/>
    <mergeCell ref="AE34:AE39"/>
    <mergeCell ref="W34:W39"/>
    <mergeCell ref="X34:X39"/>
    <mergeCell ref="AD34:AD39"/>
    <mergeCell ref="AO22:AO27"/>
    <mergeCell ref="AH27:AI27"/>
    <mergeCell ref="AT10:AT15"/>
    <mergeCell ref="AU10:AU15"/>
    <mergeCell ref="AT22:AT27"/>
    <mergeCell ref="AU22:AU27"/>
    <mergeCell ref="AR33:AS33"/>
    <mergeCell ref="AS2:AX2"/>
    <mergeCell ref="AT4:AT9"/>
    <mergeCell ref="AU4:AU9"/>
    <mergeCell ref="AV4:AV9"/>
    <mergeCell ref="AL22:AL27"/>
    <mergeCell ref="AM22:AM27"/>
    <mergeCell ref="AN22:AN27"/>
    <mergeCell ref="AJ22:AJ27"/>
    <mergeCell ref="AK22:AK27"/>
    <mergeCell ref="BA4:BA9"/>
    <mergeCell ref="AY21:AZ21"/>
    <mergeCell ref="AR15:AS15"/>
    <mergeCell ref="AY15:AZ15"/>
    <mergeCell ref="AV10:AV15"/>
    <mergeCell ref="AV22:AV27"/>
    <mergeCell ref="AX10:AX15"/>
    <mergeCell ref="AX16:AX21"/>
    <mergeCell ref="AX22:AX27"/>
    <mergeCell ref="BB4:BB9"/>
    <mergeCell ref="AR27:AS27"/>
    <mergeCell ref="AY27:AZ27"/>
    <mergeCell ref="BA22:BA27"/>
    <mergeCell ref="BB22:BB27"/>
    <mergeCell ref="BC4:BC9"/>
    <mergeCell ref="BD4:BD9"/>
    <mergeCell ref="BE4:BE9"/>
    <mergeCell ref="AR9:AS9"/>
    <mergeCell ref="AY9:AZ9"/>
    <mergeCell ref="AX4:AX9"/>
    <mergeCell ref="AT16:AT21"/>
    <mergeCell ref="AU16:AU21"/>
    <mergeCell ref="AV16:AV21"/>
    <mergeCell ref="AW4:AW9"/>
    <mergeCell ref="AW10:AW15"/>
    <mergeCell ref="AW16:AW21"/>
    <mergeCell ref="BA16:BA21"/>
    <mergeCell ref="BB16:BB21"/>
    <mergeCell ref="BC16:BC21"/>
    <mergeCell ref="BA10:BA15"/>
    <mergeCell ref="BB10:BB15"/>
    <mergeCell ref="BC10:BC15"/>
    <mergeCell ref="AR21:AS21"/>
    <mergeCell ref="BH22:BH27"/>
    <mergeCell ref="BD10:BD15"/>
    <mergeCell ref="BE10:BE15"/>
    <mergeCell ref="BD16:BD21"/>
    <mergeCell ref="BE16:BE21"/>
    <mergeCell ref="BJ22:BJ27"/>
    <mergeCell ref="BK22:BK27"/>
    <mergeCell ref="BL22:BL27"/>
    <mergeCell ref="BM22:BM27"/>
    <mergeCell ref="BF27:BG27"/>
    <mergeCell ref="BI22:BI27"/>
    <mergeCell ref="BC22:BC27"/>
    <mergeCell ref="BD22:BD27"/>
    <mergeCell ref="BE22:BE27"/>
    <mergeCell ref="AW22:AW27"/>
    <mergeCell ref="BC34:BC39"/>
    <mergeCell ref="AT28:AT33"/>
    <mergeCell ref="AU28:AU33"/>
    <mergeCell ref="AV28:AV33"/>
    <mergeCell ref="BA28:BA33"/>
    <mergeCell ref="BB28:BB33"/>
    <mergeCell ref="BC28:BC33"/>
    <mergeCell ref="AW28:AW33"/>
    <mergeCell ref="AW34:AW39"/>
    <mergeCell ref="BD28:BD33"/>
    <mergeCell ref="BE28:BE33"/>
    <mergeCell ref="AX34:AX39"/>
    <mergeCell ref="AY33:AZ33"/>
    <mergeCell ref="AX28:AX33"/>
    <mergeCell ref="AY39:AZ39"/>
    <mergeCell ref="BD40:BD45"/>
    <mergeCell ref="BE40:BE45"/>
    <mergeCell ref="BD34:BD39"/>
    <mergeCell ref="BE34:BE39"/>
    <mergeCell ref="AR45:AS45"/>
    <mergeCell ref="AY45:AZ45"/>
    <mergeCell ref="AT40:AT45"/>
    <mergeCell ref="AU40:AU45"/>
    <mergeCell ref="AV40:AV45"/>
    <mergeCell ref="BA40:BA45"/>
    <mergeCell ref="BB40:BB45"/>
    <mergeCell ref="BC40:BC45"/>
    <mergeCell ref="AX40:AX45"/>
    <mergeCell ref="AT34:AT39"/>
    <mergeCell ref="AU34:AU39"/>
    <mergeCell ref="AV34:AV39"/>
    <mergeCell ref="BA34:BA39"/>
    <mergeCell ref="BB34:BB39"/>
    <mergeCell ref="AW40:AW45"/>
    <mergeCell ref="AR39:AS39"/>
  </mergeCells>
  <conditionalFormatting sqref="M4:M45">
    <cfRule type="colorScale" priority="8">
      <colorScale>
        <cfvo type="min"/>
        <cfvo type="max"/>
        <color rgb="FFF8696B"/>
        <color rgb="FFFCFCFF"/>
      </colorScale>
    </cfRule>
  </conditionalFormatting>
  <conditionalFormatting sqref="M4:M45">
    <cfRule type="colorScale" priority="7">
      <colorScale>
        <cfvo type="min"/>
        <cfvo type="max"/>
        <color rgb="FF63BE7B"/>
        <color rgb="FFFFEF9C"/>
      </colorScale>
    </cfRule>
  </conditionalFormatting>
  <conditionalFormatting sqref="M4:M45">
    <cfRule type="colorScale" priority="6">
      <colorScale>
        <cfvo type="min"/>
        <cfvo type="max"/>
        <color rgb="FFFFEF9C"/>
        <color rgb="FF63BE7B"/>
      </colorScale>
    </cfRule>
  </conditionalFormatting>
  <conditionalFormatting sqref="AC4:AC45">
    <cfRule type="colorScale" priority="5">
      <colorScale>
        <cfvo type="min"/>
        <cfvo type="max"/>
        <color rgb="FFFFEF9C"/>
        <color rgb="FF63BE7B"/>
      </colorScale>
    </cfRule>
  </conditionalFormatting>
  <conditionalFormatting sqref="BA4:BA45">
    <cfRule type="colorScale" priority="4">
      <colorScale>
        <cfvo type="min"/>
        <cfvo type="max"/>
        <color rgb="FFFFEF9C"/>
        <color rgb="FF63BE7B"/>
      </colorScale>
    </cfRule>
  </conditionalFormatting>
  <conditionalFormatting sqref="AU4:AU45">
    <cfRule type="colorScale" priority="3">
      <colorScale>
        <cfvo type="min"/>
        <cfvo type="max"/>
        <color rgb="FFFCFCFF"/>
        <color rgb="FFF8696B"/>
      </colorScale>
    </cfRule>
  </conditionalFormatting>
  <conditionalFormatting sqref="W4:W45">
    <cfRule type="colorScale" priority="2">
      <colorScale>
        <cfvo type="min"/>
        <cfvo type="max"/>
        <color rgb="FFFCFCFF"/>
        <color rgb="FFF8696B"/>
      </colorScale>
    </cfRule>
  </conditionalFormatting>
  <conditionalFormatting sqref="G4:G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BA4F-C9FA-4F74-B916-4A721DE7B201}">
  <dimension ref="A1:AC100"/>
  <sheetViews>
    <sheetView workbookViewId="0">
      <selection sqref="A1:F10"/>
    </sheetView>
  </sheetViews>
  <sheetFormatPr defaultColWidth="9.109375" defaultRowHeight="13.2" x14ac:dyDescent="0.25"/>
  <cols>
    <col min="1" max="1" width="29.6640625" style="38" customWidth="1"/>
    <col min="2" max="2" width="23.33203125" style="37" customWidth="1"/>
    <col min="3" max="3" width="24" style="38" customWidth="1"/>
    <col min="4" max="4" width="24.5546875" style="38" customWidth="1"/>
    <col min="5" max="5" width="26.88671875" style="13" customWidth="1"/>
    <col min="6" max="6" width="19" style="13" customWidth="1"/>
    <col min="7" max="7" width="22.33203125" style="13" customWidth="1"/>
    <col min="8" max="8" width="21.44140625" customWidth="1"/>
    <col min="9" max="9" width="20.6640625" customWidth="1"/>
    <col min="10" max="10" width="14.5546875" customWidth="1"/>
    <col min="12" max="12" width="20" customWidth="1"/>
    <col min="13" max="13" width="11.88671875" customWidth="1"/>
    <col min="14" max="14" width="6.109375" customWidth="1"/>
    <col min="15" max="15" width="14.109375" customWidth="1"/>
  </cols>
  <sheetData>
    <row r="1" spans="1:15" ht="22.5" customHeight="1" x14ac:dyDescent="0.25">
      <c r="A1" s="79" t="s">
        <v>86</v>
      </c>
      <c r="B1" s="80" t="s">
        <v>0</v>
      </c>
      <c r="C1" s="80" t="s">
        <v>1</v>
      </c>
      <c r="D1" s="80" t="s">
        <v>2</v>
      </c>
      <c r="E1" s="79" t="s">
        <v>87</v>
      </c>
      <c r="F1" s="79" t="s">
        <v>88</v>
      </c>
      <c r="G1" s="79"/>
    </row>
    <row r="2" spans="1:15" ht="17.25" customHeight="1" x14ac:dyDescent="0.25">
      <c r="A2" s="54" t="s">
        <v>89</v>
      </c>
      <c r="B2" s="13">
        <v>1422</v>
      </c>
      <c r="C2" s="13">
        <v>5</v>
      </c>
      <c r="D2" s="13">
        <v>49</v>
      </c>
      <c r="E2" s="38" t="s">
        <v>90</v>
      </c>
      <c r="F2" s="54">
        <v>1483</v>
      </c>
      <c r="G2" s="54"/>
      <c r="L2" s="145" t="s">
        <v>91</v>
      </c>
      <c r="M2" s="145"/>
      <c r="O2" s="43" t="s">
        <v>92</v>
      </c>
    </row>
    <row r="3" spans="1:15" ht="19.5" customHeight="1" x14ac:dyDescent="0.25">
      <c r="A3" s="54" t="s">
        <v>93</v>
      </c>
      <c r="B3" s="13">
        <v>18312</v>
      </c>
      <c r="C3" s="13">
        <v>82</v>
      </c>
      <c r="D3" s="13">
        <v>1395</v>
      </c>
      <c r="E3" s="54" t="s">
        <v>94</v>
      </c>
      <c r="F3" s="81">
        <v>19848</v>
      </c>
      <c r="L3" s="40" t="s">
        <v>95</v>
      </c>
      <c r="M3" s="42">
        <v>1650</v>
      </c>
      <c r="N3" s="146">
        <f>SUM(M3:M5)</f>
        <v>3384</v>
      </c>
      <c r="O3" s="147">
        <f>(N3/(F6+F2))*100</f>
        <v>9.525418003715588</v>
      </c>
    </row>
    <row r="4" spans="1:15" x14ac:dyDescent="0.25">
      <c r="A4" s="54" t="s">
        <v>96</v>
      </c>
      <c r="B4" s="13">
        <v>10196</v>
      </c>
      <c r="C4" s="13">
        <v>21</v>
      </c>
      <c r="D4" s="13">
        <v>394</v>
      </c>
      <c r="E4" s="54" t="s">
        <v>97</v>
      </c>
      <c r="F4" s="54">
        <v>10722</v>
      </c>
      <c r="G4" s="81"/>
      <c r="L4" s="40" t="s">
        <v>98</v>
      </c>
      <c r="M4" s="42">
        <f>11650-F4</f>
        <v>928</v>
      </c>
      <c r="N4" s="146"/>
      <c r="O4" s="147"/>
    </row>
    <row r="5" spans="1:15" x14ac:dyDescent="0.25">
      <c r="A5" s="54" t="s">
        <v>99</v>
      </c>
      <c r="B5" s="13">
        <v>3323</v>
      </c>
      <c r="C5" s="13">
        <v>5</v>
      </c>
      <c r="D5" s="13">
        <v>139</v>
      </c>
      <c r="E5" s="54" t="s">
        <v>100</v>
      </c>
      <c r="F5" s="54">
        <v>3473</v>
      </c>
      <c r="G5" s="81"/>
      <c r="L5" s="40" t="s">
        <v>101</v>
      </c>
      <c r="M5" s="42">
        <f>4279-F5</f>
        <v>806</v>
      </c>
      <c r="N5" s="146"/>
      <c r="O5" s="147"/>
    </row>
    <row r="6" spans="1:15" ht="18" customHeight="1" x14ac:dyDescent="0.25">
      <c r="A6" s="54" t="s">
        <v>102</v>
      </c>
      <c r="B6" s="13">
        <v>1521</v>
      </c>
      <c r="C6" s="13">
        <v>0</v>
      </c>
      <c r="D6" s="13">
        <v>20</v>
      </c>
      <c r="E6" s="54" t="s">
        <v>103</v>
      </c>
      <c r="F6" s="81">
        <f>SUM(F3:F5)</f>
        <v>34043</v>
      </c>
      <c r="G6" s="39"/>
      <c r="O6" s="10"/>
    </row>
    <row r="7" spans="1:15" x14ac:dyDescent="0.25">
      <c r="A7" s="54" t="s">
        <v>104</v>
      </c>
      <c r="B7" s="13">
        <v>9437</v>
      </c>
      <c r="C7" s="13">
        <v>13</v>
      </c>
      <c r="D7" s="13">
        <v>95</v>
      </c>
      <c r="E7" s="39"/>
      <c r="F7" s="39"/>
      <c r="G7" s="39"/>
    </row>
    <row r="8" spans="1:15" ht="11.25" customHeight="1" x14ac:dyDescent="0.25">
      <c r="A8" s="54" t="s">
        <v>78</v>
      </c>
      <c r="B8" s="13">
        <v>8696</v>
      </c>
      <c r="C8" s="13">
        <v>14</v>
      </c>
      <c r="D8" s="13">
        <v>103</v>
      </c>
      <c r="E8" s="39"/>
      <c r="F8" s="39"/>
      <c r="G8" s="39"/>
    </row>
    <row r="9" spans="1:15" x14ac:dyDescent="0.25">
      <c r="A9" s="79" t="s">
        <v>105</v>
      </c>
      <c r="B9" s="13">
        <f>SUM(B2:B8)</f>
        <v>52907</v>
      </c>
      <c r="C9" s="13">
        <f t="shared" ref="C9:D9" si="0">SUM(C2:C8)</f>
        <v>140</v>
      </c>
      <c r="D9" s="13">
        <f t="shared" si="0"/>
        <v>2195</v>
      </c>
      <c r="E9"/>
      <c r="F9"/>
      <c r="G9"/>
    </row>
    <row r="10" spans="1:15" x14ac:dyDescent="0.25">
      <c r="A10" s="38" t="s">
        <v>106</v>
      </c>
      <c r="B10" s="14">
        <v>5550</v>
      </c>
      <c r="C10" s="14"/>
      <c r="D10" s="14"/>
      <c r="E10"/>
      <c r="F10"/>
      <c r="G10"/>
    </row>
    <row r="12" spans="1:15" s="36" customFormat="1" x14ac:dyDescent="0.25">
      <c r="A12" s="38" t="s">
        <v>107</v>
      </c>
      <c r="B12" s="38" t="s">
        <v>108</v>
      </c>
      <c r="C12" s="38" t="s">
        <v>109</v>
      </c>
      <c r="D12" s="38" t="s">
        <v>110</v>
      </c>
      <c r="E12" s="38" t="s">
        <v>111</v>
      </c>
      <c r="F12" s="38" t="s">
        <v>112</v>
      </c>
      <c r="G12" s="38" t="s">
        <v>113</v>
      </c>
    </row>
    <row r="13" spans="1:15" x14ac:dyDescent="0.25">
      <c r="A13" s="14" t="s">
        <v>114</v>
      </c>
      <c r="B13" s="14">
        <v>120</v>
      </c>
      <c r="C13" s="14">
        <v>3</v>
      </c>
      <c r="D13" s="14"/>
      <c r="E13" s="14"/>
      <c r="F13" s="14"/>
      <c r="G13" s="14"/>
    </row>
    <row r="14" spans="1:15" x14ac:dyDescent="0.25">
      <c r="A14" s="14" t="s">
        <v>2</v>
      </c>
      <c r="B14" s="14">
        <v>120</v>
      </c>
      <c r="C14" s="14">
        <v>3</v>
      </c>
      <c r="D14" s="14"/>
      <c r="E14" s="14"/>
      <c r="F14" s="14"/>
      <c r="G14" s="14"/>
    </row>
    <row r="15" spans="1:15" x14ac:dyDescent="0.25">
      <c r="A15" s="14" t="s">
        <v>115</v>
      </c>
      <c r="B15" s="14">
        <v>65</v>
      </c>
      <c r="C15" s="14">
        <v>1</v>
      </c>
      <c r="D15" s="14">
        <v>41</v>
      </c>
      <c r="E15" s="14">
        <v>179</v>
      </c>
      <c r="F15" s="14">
        <v>2.76</v>
      </c>
      <c r="G15" s="78">
        <f>D15/B15</f>
        <v>0.63076923076923075</v>
      </c>
    </row>
    <row r="17" spans="1:6" x14ac:dyDescent="0.25">
      <c r="A17" s="77" t="s">
        <v>116</v>
      </c>
    </row>
    <row r="20" spans="1:6" ht="52.5" hidden="1" customHeight="1" x14ac:dyDescent="0.25">
      <c r="A20" s="94" t="s">
        <v>117</v>
      </c>
      <c r="B20" s="95" t="s">
        <v>118</v>
      </c>
      <c r="C20" s="95" t="s">
        <v>119</v>
      </c>
      <c r="D20" s="60"/>
      <c r="E20" s="95" t="s">
        <v>120</v>
      </c>
      <c r="F20" s="95" t="s">
        <v>121</v>
      </c>
    </row>
    <row r="21" spans="1:6" hidden="1" x14ac:dyDescent="0.25">
      <c r="A21" s="96" t="s">
        <v>88</v>
      </c>
      <c r="B21" s="97">
        <v>12614</v>
      </c>
      <c r="C21" s="98">
        <v>12614</v>
      </c>
      <c r="D21" s="59"/>
      <c r="E21" s="87">
        <f>B25-C25</f>
        <v>258087.30630000005</v>
      </c>
      <c r="F21" s="67" t="s">
        <v>122</v>
      </c>
    </row>
    <row r="22" spans="1:6" hidden="1" x14ac:dyDescent="0.25">
      <c r="A22" s="96" t="s">
        <v>123</v>
      </c>
      <c r="B22" s="97">
        <v>3703</v>
      </c>
      <c r="C22" s="99">
        <v>3703</v>
      </c>
      <c r="D22" s="59"/>
      <c r="E22" s="66">
        <f>((B25-C25)/B25)*100</f>
        <v>61.028799652335621</v>
      </c>
      <c r="F22" s="67" t="s">
        <v>124</v>
      </c>
    </row>
    <row r="23" spans="1:6" hidden="1" x14ac:dyDescent="0.25">
      <c r="A23" s="96" t="s">
        <v>125</v>
      </c>
      <c r="B23" s="97">
        <v>0</v>
      </c>
      <c r="C23" s="99">
        <v>0</v>
      </c>
      <c r="E23" s="88">
        <f>E21/0.01055</f>
        <v>24463251.781990524</v>
      </c>
      <c r="F23" s="67" t="s">
        <v>126</v>
      </c>
    </row>
    <row r="24" spans="1:6" hidden="1" x14ac:dyDescent="0.25">
      <c r="A24" s="96" t="s">
        <v>127</v>
      </c>
      <c r="B24" s="97">
        <f>10942517.7*0.001</f>
        <v>10942.5177</v>
      </c>
      <c r="C24" s="99">
        <f>2346321.6*0.001</f>
        <v>2346.3216000000002</v>
      </c>
      <c r="E24" s="89" t="s">
        <v>128</v>
      </c>
      <c r="F24" s="90" t="s">
        <v>121</v>
      </c>
    </row>
    <row r="25" spans="1:6" hidden="1" x14ac:dyDescent="0.25">
      <c r="A25" s="96" t="s">
        <v>129</v>
      </c>
      <c r="B25" s="100">
        <f>422894285.6*0.001</f>
        <v>422894.28560000006</v>
      </c>
      <c r="C25" s="99">
        <f>164806979.3*0.001</f>
        <v>164806.97930000001</v>
      </c>
      <c r="E25" s="91">
        <f>B25</f>
        <v>422894.28560000006</v>
      </c>
      <c r="F25" s="92" t="s">
        <v>122</v>
      </c>
    </row>
    <row r="26" spans="1:6" hidden="1" x14ac:dyDescent="0.25">
      <c r="A26" s="96" t="s">
        <v>130</v>
      </c>
      <c r="B26" s="100">
        <f>33525.7*0.001</f>
        <v>33.525700000000001</v>
      </c>
      <c r="C26" s="99">
        <f>13065.4*0.001</f>
        <v>13.0654</v>
      </c>
      <c r="E26" s="93">
        <f>E25/0.01055</f>
        <v>40084766.407582946</v>
      </c>
      <c r="F26" s="67" t="s">
        <v>126</v>
      </c>
    </row>
    <row r="27" spans="1:6" hidden="1" x14ac:dyDescent="0.25">
      <c r="A27" s="96" t="s">
        <v>131</v>
      </c>
      <c r="B27" s="97">
        <f>20411.24*0.001</f>
        <v>20.411240000000003</v>
      </c>
      <c r="C27" s="99">
        <f>7764.8*0.001</f>
        <v>7.7648000000000001</v>
      </c>
    </row>
    <row r="28" spans="1:6" hidden="1" x14ac:dyDescent="0.25">
      <c r="A28" s="96" t="s">
        <v>132</v>
      </c>
      <c r="B28" s="97">
        <f>116250.25*0.001</f>
        <v>116.25025000000001</v>
      </c>
      <c r="C28" s="99">
        <f>35969.3*0.001</f>
        <v>35.969300000000004</v>
      </c>
    </row>
    <row r="29" spans="1:6" hidden="1" x14ac:dyDescent="0.25"/>
    <row r="30" spans="1:6" ht="14.25" hidden="1" customHeight="1" x14ac:dyDescent="0.25">
      <c r="A30" s="143" t="s">
        <v>133</v>
      </c>
      <c r="B30" s="143"/>
      <c r="C30" s="143"/>
    </row>
    <row r="32" spans="1:6" ht="45.75" customHeight="1" x14ac:dyDescent="0.25">
      <c r="A32" s="38" t="s">
        <v>134</v>
      </c>
      <c r="B32" s="60" t="s">
        <v>118</v>
      </c>
      <c r="C32" s="60" t="s">
        <v>119</v>
      </c>
      <c r="E32" s="60" t="s">
        <v>135</v>
      </c>
      <c r="F32" s="60" t="s">
        <v>121</v>
      </c>
    </row>
    <row r="33" spans="1:29" ht="12.75" customHeight="1" x14ac:dyDescent="0.25">
      <c r="A33" s="59" t="s">
        <v>88</v>
      </c>
      <c r="B33" s="61">
        <v>55242</v>
      </c>
      <c r="C33" s="62">
        <v>55242</v>
      </c>
      <c r="E33" s="65">
        <f>B37-C37</f>
        <v>395197.20909999998</v>
      </c>
      <c r="F33" s="13" t="s">
        <v>122</v>
      </c>
    </row>
    <row r="34" spans="1:29" ht="12.75" customHeight="1" x14ac:dyDescent="0.25">
      <c r="A34" s="59" t="s">
        <v>136</v>
      </c>
      <c r="B34" s="61">
        <v>308</v>
      </c>
      <c r="C34" s="63">
        <v>308</v>
      </c>
      <c r="E34" s="66">
        <f>((B37-C37)/B37)*100</f>
        <v>70.570402380226199</v>
      </c>
      <c r="F34" s="67" t="s">
        <v>124</v>
      </c>
    </row>
    <row r="35" spans="1:29" ht="12.75" customHeight="1" x14ac:dyDescent="0.25">
      <c r="A35" s="59" t="s">
        <v>125</v>
      </c>
      <c r="B35" s="61">
        <f>41.48*0.001</f>
        <v>4.1479999999999996E-2</v>
      </c>
      <c r="C35" s="63">
        <v>0</v>
      </c>
      <c r="E35" s="73">
        <f>E33/0.01055</f>
        <v>37459451.099526063</v>
      </c>
      <c r="F35" s="13" t="s">
        <v>137</v>
      </c>
    </row>
    <row r="36" spans="1:29" ht="12.75" customHeight="1" x14ac:dyDescent="0.25">
      <c r="A36" s="59" t="s">
        <v>127</v>
      </c>
      <c r="B36" s="61">
        <f>4700843.3*0.001</f>
        <v>4700.8432999999995</v>
      </c>
      <c r="C36" s="63">
        <f>1007966.4*0.001</f>
        <v>1007.9664</v>
      </c>
    </row>
    <row r="37" spans="1:29" ht="12.75" customHeight="1" x14ac:dyDescent="0.25">
      <c r="A37" s="59" t="s">
        <v>129</v>
      </c>
      <c r="B37" s="64">
        <f>560004188.4*0.001</f>
        <v>560004.18839999998</v>
      </c>
      <c r="C37" s="63">
        <f>164806979.3*0.001</f>
        <v>164806.97930000001</v>
      </c>
      <c r="E37" s="69" t="s">
        <v>128</v>
      </c>
      <c r="F37" s="70" t="s">
        <v>121</v>
      </c>
    </row>
    <row r="38" spans="1:29" ht="12.75" customHeight="1" x14ac:dyDescent="0.25">
      <c r="A38" s="59" t="s">
        <v>130</v>
      </c>
      <c r="B38" s="64">
        <f>10137.2*0.001</f>
        <v>10.137200000000002</v>
      </c>
      <c r="C38" s="63">
        <f>2937.6*0.001</f>
        <v>2.9375999999999998</v>
      </c>
      <c r="E38" s="71">
        <f>B37</f>
        <v>560004.18839999998</v>
      </c>
      <c r="F38" s="72" t="s">
        <v>122</v>
      </c>
    </row>
    <row r="39" spans="1:29" ht="12.75" customHeight="1" x14ac:dyDescent="0.25">
      <c r="A39" s="59" t="s">
        <v>131</v>
      </c>
      <c r="B39" s="61">
        <f>7051.5*0.001</f>
        <v>7.0514999999999999</v>
      </c>
      <c r="C39" s="63">
        <f>2392*0.001</f>
        <v>2.3919999999999999</v>
      </c>
      <c r="E39" s="73">
        <f>E38/0.01055</f>
        <v>53080965.725118481</v>
      </c>
      <c r="F39" s="13" t="s">
        <v>126</v>
      </c>
    </row>
    <row r="40" spans="1:29" ht="12.75" customHeight="1" x14ac:dyDescent="0.25">
      <c r="A40" s="59" t="s">
        <v>132</v>
      </c>
      <c r="B40" s="61">
        <f>26080*0.001</f>
        <v>26.080000000000002</v>
      </c>
      <c r="C40" s="63">
        <f>5734*0.001</f>
        <v>5.734</v>
      </c>
      <c r="E40" s="69" t="s">
        <v>138</v>
      </c>
      <c r="F40" s="70" t="s">
        <v>121</v>
      </c>
    </row>
    <row r="41" spans="1:29" x14ac:dyDescent="0.25">
      <c r="E41" s="75">
        <v>31305400</v>
      </c>
      <c r="F41" s="72" t="s">
        <v>126</v>
      </c>
      <c r="G41" s="13">
        <v>4315093</v>
      </c>
      <c r="H41">
        <f>G41/G42</f>
        <v>3.9192100000592363</v>
      </c>
    </row>
    <row r="42" spans="1:29" x14ac:dyDescent="0.25">
      <c r="B42" s="74" t="s">
        <v>139</v>
      </c>
      <c r="E42" s="13">
        <f>E41*35.17</f>
        <v>1101010918</v>
      </c>
      <c r="F42" s="13" t="s">
        <v>140</v>
      </c>
      <c r="G42" s="73">
        <v>1101010.9180000001</v>
      </c>
      <c r="H42" t="s">
        <v>141</v>
      </c>
    </row>
    <row r="43" spans="1:29" x14ac:dyDescent="0.25">
      <c r="E43" s="102" t="s">
        <v>142</v>
      </c>
      <c r="F43" s="103" t="s">
        <v>121</v>
      </c>
      <c r="H43" t="s">
        <v>143</v>
      </c>
    </row>
    <row r="44" spans="1:29" x14ac:dyDescent="0.25">
      <c r="B44" s="148"/>
      <c r="C44" s="148"/>
      <c r="E44" s="73">
        <f>455308932*0.001</f>
        <v>455308.93200000003</v>
      </c>
      <c r="F44" s="13" t="s">
        <v>122</v>
      </c>
    </row>
    <row r="45" spans="1:29" x14ac:dyDescent="0.25">
      <c r="C45" s="37"/>
      <c r="E45" s="73">
        <f>E44/0.01055</f>
        <v>43157244.739336491</v>
      </c>
      <c r="F45" s="13" t="s">
        <v>126</v>
      </c>
    </row>
    <row r="46" spans="1:29" x14ac:dyDescent="0.25">
      <c r="C46" s="37"/>
      <c r="E46" s="73">
        <f>((E41-E45)/E41)*100</f>
        <v>-37.858787108091548</v>
      </c>
      <c r="F46" s="73" t="s">
        <v>144</v>
      </c>
    </row>
    <row r="47" spans="1:29" x14ac:dyDescent="0.25">
      <c r="C47" s="37"/>
    </row>
    <row r="48" spans="1:29" x14ac:dyDescent="0.25">
      <c r="A48" s="38" t="s">
        <v>145</v>
      </c>
      <c r="B48" s="37" t="s">
        <v>146</v>
      </c>
      <c r="C48" s="37" t="s">
        <v>147</v>
      </c>
      <c r="D48" s="38" t="s">
        <v>148</v>
      </c>
      <c r="E48" s="37" t="s">
        <v>149</v>
      </c>
      <c r="F48" s="37" t="s">
        <v>150</v>
      </c>
      <c r="G48" s="37" t="s">
        <v>151</v>
      </c>
      <c r="P48" s="144" t="s">
        <v>152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</row>
    <row r="49" spans="1:29" x14ac:dyDescent="0.25">
      <c r="A49" s="38" t="s">
        <v>19</v>
      </c>
      <c r="B49" s="37">
        <f>Typos!G4</f>
        <v>156.69999999999999</v>
      </c>
      <c r="C49" s="38">
        <f>Typos!N4</f>
        <v>36.799999999999997</v>
      </c>
      <c r="D49" s="38">
        <f>Typos!W4</f>
        <v>331.28</v>
      </c>
      <c r="E49" s="14">
        <f>Typos!AD4</f>
        <v>45.94</v>
      </c>
      <c r="F49" s="14">
        <f>Typos!AU4</f>
        <v>237.34</v>
      </c>
      <c r="G49" s="14">
        <f>Typos!BB4</f>
        <v>46.1</v>
      </c>
      <c r="P49" s="142" t="s">
        <v>19</v>
      </c>
      <c r="Q49" s="142"/>
      <c r="R49" s="142" t="s">
        <v>47</v>
      </c>
      <c r="S49" s="142"/>
      <c r="T49" s="142" t="s">
        <v>52</v>
      </c>
      <c r="U49" s="142"/>
      <c r="V49" s="142" t="s">
        <v>60</v>
      </c>
      <c r="W49" s="142"/>
      <c r="X49" s="142" t="s">
        <v>67</v>
      </c>
      <c r="Y49" s="142"/>
      <c r="Z49" s="142" t="s">
        <v>76</v>
      </c>
      <c r="AA49" s="142"/>
      <c r="AB49" s="142" t="s">
        <v>78</v>
      </c>
      <c r="AC49" s="142"/>
    </row>
    <row r="50" spans="1:29" x14ac:dyDescent="0.25">
      <c r="A50" s="38" t="s">
        <v>47</v>
      </c>
      <c r="B50" s="37">
        <f>Typos!G10</f>
        <v>156.69999999999999</v>
      </c>
      <c r="C50" s="38">
        <f>Typos!N10</f>
        <v>33.6</v>
      </c>
      <c r="D50" s="38">
        <f>Typos!W10</f>
        <v>331.28</v>
      </c>
      <c r="E50" s="14">
        <f>Typos!AD10</f>
        <v>47.05</v>
      </c>
      <c r="F50" s="14">
        <f>Typos!AU10</f>
        <v>237.34</v>
      </c>
      <c r="G50" s="14">
        <f>Typos!BB10</f>
        <v>26.52</v>
      </c>
      <c r="P50" s="68" t="s">
        <v>153</v>
      </c>
      <c r="Q50" s="68" t="s">
        <v>154</v>
      </c>
      <c r="R50" s="68" t="s">
        <v>153</v>
      </c>
      <c r="S50" s="68" t="s">
        <v>154</v>
      </c>
      <c r="T50" s="68" t="s">
        <v>153</v>
      </c>
      <c r="U50" s="68" t="s">
        <v>154</v>
      </c>
      <c r="V50" s="68" t="s">
        <v>153</v>
      </c>
      <c r="W50" s="68" t="s">
        <v>154</v>
      </c>
      <c r="X50" s="68" t="s">
        <v>153</v>
      </c>
      <c r="Y50" s="68" t="s">
        <v>154</v>
      </c>
      <c r="Z50" s="68" t="s">
        <v>153</v>
      </c>
      <c r="AA50" s="68" t="s">
        <v>154</v>
      </c>
      <c r="AB50" s="68" t="s">
        <v>153</v>
      </c>
      <c r="AC50" s="68" t="s">
        <v>154</v>
      </c>
    </row>
    <row r="51" spans="1:29" ht="22.8" x14ac:dyDescent="0.25">
      <c r="A51" s="38" t="s">
        <v>52</v>
      </c>
      <c r="B51" s="37">
        <f>Typos!G16</f>
        <v>110.7</v>
      </c>
      <c r="C51" s="38">
        <f>Typos!N16</f>
        <v>33.6</v>
      </c>
      <c r="D51" s="38">
        <f>Typos!W16</f>
        <v>256.57</v>
      </c>
      <c r="E51" s="14">
        <f>Typos!AD16</f>
        <v>47.05</v>
      </c>
      <c r="F51" s="14">
        <f>Typos!AU16</f>
        <v>177.44</v>
      </c>
      <c r="G51" s="14">
        <f>Typos!BB16</f>
        <v>42.03</v>
      </c>
      <c r="P51" s="68">
        <v>156.69999999999999</v>
      </c>
      <c r="Q51" s="68">
        <v>36.799999999999997</v>
      </c>
      <c r="R51" s="68">
        <v>156.69999999999999</v>
      </c>
      <c r="S51" s="68">
        <v>33.6</v>
      </c>
      <c r="T51" s="68">
        <v>110.7</v>
      </c>
      <c r="U51" s="68">
        <v>33.6</v>
      </c>
      <c r="V51" s="68">
        <v>110.7</v>
      </c>
      <c r="W51" s="68">
        <v>39.08</v>
      </c>
      <c r="X51" s="68">
        <v>62.93</v>
      </c>
      <c r="Y51" s="68">
        <v>38.92</v>
      </c>
      <c r="Z51" s="68">
        <v>62.93</v>
      </c>
      <c r="AA51" s="68">
        <v>39.08</v>
      </c>
      <c r="AB51" s="68">
        <v>41.48</v>
      </c>
      <c r="AC51" s="68">
        <v>35.07</v>
      </c>
    </row>
    <row r="52" spans="1:29" ht="22.8" x14ac:dyDescent="0.25">
      <c r="A52" s="38" t="s">
        <v>60</v>
      </c>
      <c r="B52" s="37">
        <f>Typos!G22</f>
        <v>110.7</v>
      </c>
      <c r="C52" s="38">
        <f>Typos!N22</f>
        <v>39.08</v>
      </c>
      <c r="D52" s="38">
        <f>Typos!W22</f>
        <v>256.57</v>
      </c>
      <c r="E52" s="14">
        <f>Typos!AD22</f>
        <v>48.03</v>
      </c>
      <c r="F52" s="14">
        <f>Typos!AU22</f>
        <v>177.44</v>
      </c>
      <c r="G52" s="14">
        <f>Typos!BB22</f>
        <v>49.03</v>
      </c>
    </row>
    <row r="53" spans="1:29" ht="22.8" x14ac:dyDescent="0.25">
      <c r="A53" s="38" t="s">
        <v>67</v>
      </c>
      <c r="B53" s="37">
        <f>Typos!G28</f>
        <v>62.93</v>
      </c>
      <c r="C53" s="38">
        <f>Typos!N28</f>
        <v>38.92</v>
      </c>
      <c r="D53" s="38">
        <f>Typos!W28</f>
        <v>171.16</v>
      </c>
      <c r="E53" s="14">
        <f>Typos!AD28</f>
        <v>48.3</v>
      </c>
      <c r="F53" s="14">
        <f>Typos!AU28</f>
        <v>125.17</v>
      </c>
      <c r="G53" s="14">
        <f>Typos!BB28</f>
        <v>25.99</v>
      </c>
    </row>
    <row r="54" spans="1:29" ht="22.8" x14ac:dyDescent="0.25">
      <c r="A54" s="38" t="s">
        <v>76</v>
      </c>
      <c r="B54" s="37">
        <f>Typos!G34</f>
        <v>62.93</v>
      </c>
      <c r="C54" s="38">
        <f>Typos!N34</f>
        <v>39.08</v>
      </c>
      <c r="D54" s="38">
        <f>Typos!W34</f>
        <v>171.16</v>
      </c>
      <c r="E54" s="14">
        <f>Typos!AD34</f>
        <v>44.94</v>
      </c>
      <c r="F54" s="14">
        <f>Typos!AU34</f>
        <v>125.17</v>
      </c>
      <c r="G54" s="14">
        <f>Typos!BB34</f>
        <v>49.03</v>
      </c>
    </row>
    <row r="55" spans="1:29" x14ac:dyDescent="0.25">
      <c r="A55" s="38" t="s">
        <v>78</v>
      </c>
      <c r="B55" s="37">
        <f>Typos!G40</f>
        <v>41.48</v>
      </c>
      <c r="C55" s="38">
        <f>Typos!N40</f>
        <v>35.07</v>
      </c>
      <c r="D55" s="38">
        <f>Typos!W40</f>
        <v>143.87</v>
      </c>
      <c r="E55" s="14">
        <f>Typos!AD40</f>
        <v>44.88</v>
      </c>
      <c r="F55" s="14">
        <f>Typos!AU40</f>
        <v>104.87</v>
      </c>
      <c r="G55" s="14">
        <f>Typos!BB40</f>
        <v>47.03</v>
      </c>
    </row>
    <row r="57" spans="1:29" x14ac:dyDescent="0.25">
      <c r="A57" s="38" t="s">
        <v>155</v>
      </c>
      <c r="B57" s="37" t="s">
        <v>146</v>
      </c>
      <c r="C57" s="37" t="s">
        <v>156</v>
      </c>
      <c r="D57" s="38" t="s">
        <v>157</v>
      </c>
      <c r="E57" s="37" t="s">
        <v>158</v>
      </c>
      <c r="F57" s="37" t="s">
        <v>150</v>
      </c>
      <c r="G57" s="37" t="s">
        <v>151</v>
      </c>
    </row>
    <row r="58" spans="1:29" x14ac:dyDescent="0.25">
      <c r="A58" s="38" t="s">
        <v>19</v>
      </c>
      <c r="B58" s="76">
        <f t="shared" ref="B58:B64" si="1">(B49/10.55)</f>
        <v>14.853080568720378</v>
      </c>
      <c r="C58" s="76">
        <f t="shared" ref="C58:G64" si="2">C49/10.55</f>
        <v>3.4881516587677721</v>
      </c>
      <c r="D58" s="76">
        <f t="shared" si="2"/>
        <v>31.400947867298573</v>
      </c>
      <c r="E58" s="76">
        <f t="shared" si="2"/>
        <v>4.3545023696682463</v>
      </c>
      <c r="F58" s="76">
        <f t="shared" si="2"/>
        <v>22.496682464454974</v>
      </c>
      <c r="G58" s="76">
        <f t="shared" si="2"/>
        <v>4.3696682464454977</v>
      </c>
    </row>
    <row r="59" spans="1:29" x14ac:dyDescent="0.25">
      <c r="A59" s="38" t="s">
        <v>47</v>
      </c>
      <c r="B59" s="76">
        <f t="shared" si="1"/>
        <v>14.853080568720378</v>
      </c>
      <c r="C59" s="76">
        <f t="shared" si="2"/>
        <v>3.1848341232227488</v>
      </c>
      <c r="D59" s="76">
        <f t="shared" si="2"/>
        <v>31.400947867298573</v>
      </c>
      <c r="E59" s="76">
        <f t="shared" si="2"/>
        <v>4.4597156398104261</v>
      </c>
      <c r="F59" s="76">
        <f t="shared" si="2"/>
        <v>22.496682464454974</v>
      </c>
      <c r="G59" s="76">
        <f t="shared" si="2"/>
        <v>2.5137440758293836</v>
      </c>
    </row>
    <row r="60" spans="1:29" ht="22.8" x14ac:dyDescent="0.25">
      <c r="A60" s="38" t="s">
        <v>52</v>
      </c>
      <c r="B60" s="76">
        <f t="shared" si="1"/>
        <v>10.492890995260662</v>
      </c>
      <c r="C60" s="76">
        <f t="shared" si="2"/>
        <v>3.1848341232227488</v>
      </c>
      <c r="D60" s="76">
        <f t="shared" si="2"/>
        <v>24.319431279620851</v>
      </c>
      <c r="E60" s="76">
        <f t="shared" si="2"/>
        <v>4.4597156398104261</v>
      </c>
      <c r="F60" s="76">
        <f t="shared" si="2"/>
        <v>16.818957345971562</v>
      </c>
      <c r="G60" s="76">
        <f t="shared" si="2"/>
        <v>3.9838862559241703</v>
      </c>
    </row>
    <row r="61" spans="1:29" ht="22.8" x14ac:dyDescent="0.25">
      <c r="A61" s="38" t="s">
        <v>60</v>
      </c>
      <c r="B61" s="76">
        <f t="shared" si="1"/>
        <v>10.492890995260662</v>
      </c>
      <c r="C61" s="76">
        <f t="shared" si="2"/>
        <v>3.7042654028436015</v>
      </c>
      <c r="D61" s="76">
        <f t="shared" si="2"/>
        <v>24.319431279620851</v>
      </c>
      <c r="E61" s="76">
        <f t="shared" si="2"/>
        <v>4.5526066350710899</v>
      </c>
      <c r="F61" s="76">
        <f t="shared" si="2"/>
        <v>16.818957345971562</v>
      </c>
      <c r="G61" s="76">
        <f t="shared" si="2"/>
        <v>4.6473933649289094</v>
      </c>
    </row>
    <row r="62" spans="1:29" ht="22.8" x14ac:dyDescent="0.25">
      <c r="A62" s="38" t="s">
        <v>67</v>
      </c>
      <c r="B62" s="76">
        <f t="shared" si="1"/>
        <v>5.9649289099526062</v>
      </c>
      <c r="C62" s="76">
        <f t="shared" si="2"/>
        <v>3.6890995260663506</v>
      </c>
      <c r="D62" s="76">
        <f t="shared" si="2"/>
        <v>16.223696682464453</v>
      </c>
      <c r="E62" s="76">
        <f t="shared" si="2"/>
        <v>4.5781990521327005</v>
      </c>
      <c r="F62" s="76">
        <f t="shared" si="2"/>
        <v>11.864454976303318</v>
      </c>
      <c r="G62" s="76">
        <f t="shared" si="2"/>
        <v>2.4635071090047389</v>
      </c>
    </row>
    <row r="63" spans="1:29" ht="22.8" x14ac:dyDescent="0.25">
      <c r="A63" s="38" t="s">
        <v>76</v>
      </c>
      <c r="B63" s="76">
        <f t="shared" si="1"/>
        <v>5.9649289099526062</v>
      </c>
      <c r="C63" s="76">
        <f t="shared" si="2"/>
        <v>3.7042654028436015</v>
      </c>
      <c r="D63" s="76">
        <f t="shared" si="2"/>
        <v>16.223696682464453</v>
      </c>
      <c r="E63" s="76">
        <f t="shared" si="2"/>
        <v>4.2597156398104259</v>
      </c>
      <c r="F63" s="76">
        <f t="shared" si="2"/>
        <v>11.864454976303318</v>
      </c>
      <c r="G63" s="76">
        <f t="shared" si="2"/>
        <v>4.6473933649289094</v>
      </c>
    </row>
    <row r="64" spans="1:29" x14ac:dyDescent="0.25">
      <c r="A64" s="38" t="s">
        <v>78</v>
      </c>
      <c r="B64" s="76">
        <f t="shared" si="1"/>
        <v>3.931753554502369</v>
      </c>
      <c r="C64" s="76">
        <f t="shared" si="2"/>
        <v>3.3241706161137441</v>
      </c>
      <c r="D64" s="76">
        <f t="shared" si="2"/>
        <v>13.636966824644549</v>
      </c>
      <c r="E64" s="76">
        <f t="shared" si="2"/>
        <v>4.2540284360189569</v>
      </c>
      <c r="F64" s="76">
        <f t="shared" si="2"/>
        <v>9.9402843601895725</v>
      </c>
      <c r="G64" s="76">
        <f t="shared" si="2"/>
        <v>4.4578199052132703</v>
      </c>
    </row>
    <row r="65" spans="1:10" x14ac:dyDescent="0.25">
      <c r="A65" s="38" t="s">
        <v>159</v>
      </c>
      <c r="B65" s="76">
        <f>AVERAGE(Table76[[Appartement current ]])</f>
        <v>9.5076506431956638</v>
      </c>
    </row>
    <row r="67" spans="1:10" s="9" customFormat="1" ht="22.8" x14ac:dyDescent="0.25">
      <c r="A67" s="38" t="s">
        <v>160</v>
      </c>
      <c r="B67" s="38" t="s">
        <v>146</v>
      </c>
      <c r="C67" s="38" t="s">
        <v>161</v>
      </c>
      <c r="D67" s="38" t="s">
        <v>156</v>
      </c>
      <c r="E67" s="38" t="s">
        <v>157</v>
      </c>
      <c r="F67" s="38" t="s">
        <v>162</v>
      </c>
      <c r="G67" s="38" t="s">
        <v>158</v>
      </c>
      <c r="H67" s="38" t="s">
        <v>150</v>
      </c>
      <c r="I67" s="38" t="s">
        <v>163</v>
      </c>
      <c r="J67" s="38" t="s">
        <v>151</v>
      </c>
    </row>
    <row r="68" spans="1:10" x14ac:dyDescent="0.25">
      <c r="A68" s="38" t="s">
        <v>19</v>
      </c>
      <c r="B68" s="76">
        <f t="shared" ref="B68" si="3">B58+A80</f>
        <v>18.354123222748814</v>
      </c>
      <c r="C68" s="101">
        <f t="shared" ref="C68" si="4">((E83-B68)/E83)*100</f>
        <v>-33.000892918469667</v>
      </c>
      <c r="D68" s="76">
        <f>C58+A80</f>
        <v>6.989194312796208</v>
      </c>
      <c r="E68" s="76">
        <f>D58+A80</f>
        <v>34.901990521327008</v>
      </c>
      <c r="F68" s="76">
        <f>((E89-E68)/E89)*100</f>
        <v>-174.81882300257487</v>
      </c>
      <c r="G68" s="76">
        <f>E58+A80</f>
        <v>7.8555450236966822</v>
      </c>
      <c r="H68" s="76">
        <f>F58+A80</f>
        <v>25.997725118483409</v>
      </c>
      <c r="I68" s="76">
        <f t="shared" ref="I68:I70" si="5">((E94-H68)/E94)*100</f>
        <v>-140.71967702299452</v>
      </c>
      <c r="J68" s="76">
        <f>G58+A80</f>
        <v>7.8707109004739335</v>
      </c>
    </row>
    <row r="69" spans="1:10" x14ac:dyDescent="0.25">
      <c r="A69" s="38" t="s">
        <v>47</v>
      </c>
      <c r="B69" s="76">
        <f>B59+A80</f>
        <v>18.354123222748814</v>
      </c>
      <c r="C69" s="101">
        <f>((E83-B69)/E83)*100</f>
        <v>-33.000892918469667</v>
      </c>
      <c r="D69" s="76">
        <f>C59+A80</f>
        <v>6.6858767772511847</v>
      </c>
      <c r="E69" s="76">
        <f>D59+A80</f>
        <v>34.901990521327008</v>
      </c>
      <c r="F69" s="76">
        <f>((E89-E69)/E89)*100</f>
        <v>-174.81882300257487</v>
      </c>
      <c r="G69" s="76">
        <f>E59+A80</f>
        <v>7.9607582938388619</v>
      </c>
      <c r="H69" s="76">
        <f>F59+A80</f>
        <v>25.997725118483409</v>
      </c>
      <c r="I69" s="76">
        <f t="shared" si="5"/>
        <v>-140.71967702299452</v>
      </c>
      <c r="J69" s="76">
        <f>G59+A80</f>
        <v>6.0147867298578195</v>
      </c>
    </row>
    <row r="70" spans="1:10" ht="22.8" x14ac:dyDescent="0.25">
      <c r="A70" s="38" t="s">
        <v>52</v>
      </c>
      <c r="B70" s="76">
        <f>B60+A80</f>
        <v>13.993933649289097</v>
      </c>
      <c r="C70" s="101">
        <f>((E84-B70)/E84)*100</f>
        <v>-8.4801058084426124</v>
      </c>
      <c r="D70" s="76">
        <f>C60+A80</f>
        <v>6.6858767772511847</v>
      </c>
      <c r="E70" s="76">
        <f>D60+A80</f>
        <v>27.820473933649286</v>
      </c>
      <c r="F70" s="76">
        <f>((E90-E70)/E90)*100</f>
        <v>-128.03667158728925</v>
      </c>
      <c r="G70" s="76">
        <f>E60+A80</f>
        <v>7.9607582938388619</v>
      </c>
      <c r="H70" s="76">
        <f>F60+A80</f>
        <v>20.319999999999997</v>
      </c>
      <c r="I70" s="76">
        <f t="shared" si="5"/>
        <v>-89.906542056074741</v>
      </c>
      <c r="J70" s="76">
        <f>G60+A80</f>
        <v>7.4849289099526057</v>
      </c>
    </row>
    <row r="71" spans="1:10" ht="22.8" x14ac:dyDescent="0.25">
      <c r="A71" s="38" t="s">
        <v>60</v>
      </c>
      <c r="B71" s="76">
        <f>B61+A80</f>
        <v>13.993933649289097</v>
      </c>
      <c r="C71" s="101">
        <f>((E84-B71)/E84)*100</f>
        <v>-8.4801058084426124</v>
      </c>
      <c r="D71" s="76">
        <f>C61+A80</f>
        <v>7.2053080568720373</v>
      </c>
      <c r="E71" s="76">
        <f>D61+A80</f>
        <v>27.820473933649286</v>
      </c>
      <c r="F71" s="76">
        <f>((E90-E71)/E90)*100</f>
        <v>-128.03667158728925</v>
      </c>
      <c r="G71" s="76">
        <f>E61+A80</f>
        <v>8.0536492890995248</v>
      </c>
      <c r="H71" s="76">
        <f>F61+A80</f>
        <v>20.319999999999997</v>
      </c>
      <c r="I71" s="76">
        <f>((E96-H71)/E96)*100</f>
        <v>-89.906542056074741</v>
      </c>
      <c r="J71" s="76">
        <f>G61+A80</f>
        <v>8.1484360189573444</v>
      </c>
    </row>
    <row r="72" spans="1:10" ht="22.8" x14ac:dyDescent="0.25">
      <c r="A72" s="38" t="s">
        <v>67</v>
      </c>
      <c r="B72" s="76">
        <f>B62+A80</f>
        <v>9.4659715639810429</v>
      </c>
      <c r="C72" s="101">
        <f>((E86-B72)/E86)*100</f>
        <v>21.116903633491312</v>
      </c>
      <c r="D72" s="76">
        <f>C62+A80</f>
        <v>7.1901421800947869</v>
      </c>
      <c r="E72" s="76">
        <f>D62+A80</f>
        <v>19.724739336492888</v>
      </c>
      <c r="F72" s="76">
        <f>((E92-E72)/E92)*100</f>
        <v>-91.502323655270743</v>
      </c>
      <c r="G72" s="76">
        <f>E62+A80</f>
        <v>8.0792417061611363</v>
      </c>
      <c r="H72" s="76">
        <f>F62+A80</f>
        <v>15.365497630331753</v>
      </c>
      <c r="I72" s="76">
        <f>((E98-H72)/E98)*100</f>
        <v>-74.607927617406261</v>
      </c>
      <c r="J72" s="76">
        <f>G62+A80</f>
        <v>5.9645497630331743</v>
      </c>
    </row>
    <row r="73" spans="1:10" ht="22.8" x14ac:dyDescent="0.25">
      <c r="A73" s="38" t="s">
        <v>76</v>
      </c>
      <c r="B73" s="76">
        <f>B63+A80</f>
        <v>9.4659715639810429</v>
      </c>
      <c r="C73" s="101">
        <f>((E86-B73)/E86)*100</f>
        <v>21.116903633491312</v>
      </c>
      <c r="D73" s="76">
        <f>C63+A80</f>
        <v>7.2053080568720373</v>
      </c>
      <c r="E73" s="76">
        <f>D63+A80</f>
        <v>19.724739336492888</v>
      </c>
      <c r="F73" s="76">
        <f>((E92-E73)/E92)*100</f>
        <v>-91.502323655270743</v>
      </c>
      <c r="G73" s="76">
        <f>E63+A80</f>
        <v>7.7607582938388617</v>
      </c>
      <c r="H73" s="76">
        <f>F63+A80</f>
        <v>15.365497630331753</v>
      </c>
      <c r="I73" s="76">
        <f>((E98-H73)/E98)*100</f>
        <v>-74.607927617406261</v>
      </c>
      <c r="J73" s="76">
        <f>G63+A80</f>
        <v>8.1484360189573444</v>
      </c>
    </row>
    <row r="74" spans="1:10" x14ac:dyDescent="0.25">
      <c r="A74" s="38" t="s">
        <v>78</v>
      </c>
      <c r="B74" s="76">
        <f>B64+A80</f>
        <v>7.4327962085308048</v>
      </c>
      <c r="C74" s="76">
        <f>((E87-B74)/E87)*100</f>
        <v>25.672037914691952</v>
      </c>
      <c r="D74" s="76">
        <f>C64+A80</f>
        <v>6.8252132701421804</v>
      </c>
      <c r="E74" s="76">
        <f>D64+A80</f>
        <v>17.138009478672984</v>
      </c>
      <c r="F74" s="76">
        <f>((E93-E74)/E93)*100</f>
        <v>-94.750107712192985</v>
      </c>
      <c r="G74" s="76">
        <f>E64+A80</f>
        <v>7.7550710900473927</v>
      </c>
      <c r="H74" s="76">
        <f>F64+A80</f>
        <v>13.441327014218007</v>
      </c>
      <c r="I74" s="76">
        <f>((E99-H74)/E99)*100</f>
        <v>-74.562688496337756</v>
      </c>
      <c r="J74" s="76">
        <f>G64+A80</f>
        <v>7.9588625592417062</v>
      </c>
    </row>
    <row r="75" spans="1:10" x14ac:dyDescent="0.25">
      <c r="A75" s="38" t="s">
        <v>159</v>
      </c>
      <c r="B75" s="76">
        <f>AVERAGE(Table7612[[Appartement current ]])</f>
        <v>13.008693297224102</v>
      </c>
      <c r="C75" s="76">
        <f>((E88-B75)/E88)*100</f>
        <v>-5.7617341237731834</v>
      </c>
      <c r="D75" s="76"/>
      <c r="E75" s="76">
        <f>AVERAGE(Table7612[Corner house current])</f>
        <v>26.004631008801621</v>
      </c>
      <c r="F75" s="76">
        <f>((E94-E75)/E94)*100</f>
        <v>-140.78362045186682</v>
      </c>
      <c r="G75" s="76"/>
      <c r="H75" s="76">
        <f>AVERAGE(Table7612[Terraced current])</f>
        <v>19.543967501692617</v>
      </c>
      <c r="I75" s="76">
        <f>((E100-H75)/E100)*100</f>
        <v>-93.504628729629886</v>
      </c>
      <c r="J75" s="76"/>
    </row>
    <row r="77" spans="1:10" ht="13.5" customHeight="1" x14ac:dyDescent="0.25">
      <c r="A77" s="149" t="s">
        <v>164</v>
      </c>
      <c r="B77" s="149"/>
      <c r="C77" s="149"/>
    </row>
    <row r="78" spans="1:10" x14ac:dyDescent="0.25">
      <c r="A78" s="84" t="s">
        <v>165</v>
      </c>
      <c r="B78" s="85" t="s">
        <v>166</v>
      </c>
    </row>
    <row r="79" spans="1:10" x14ac:dyDescent="0.25">
      <c r="A79" s="83">
        <v>36.936</v>
      </c>
      <c r="B79" s="82" t="s">
        <v>167</v>
      </c>
    </row>
    <row r="80" spans="1:10" x14ac:dyDescent="0.25">
      <c r="A80" s="83">
        <f>A79/10.55</f>
        <v>3.5010426540284358</v>
      </c>
      <c r="B80" s="82" t="s">
        <v>168</v>
      </c>
    </row>
    <row r="82" spans="1:7" x14ac:dyDescent="0.25">
      <c r="A82" s="38" t="s">
        <v>169</v>
      </c>
      <c r="B82" s="37" t="s">
        <v>146</v>
      </c>
      <c r="C82" s="38" t="s">
        <v>157</v>
      </c>
      <c r="D82" s="37" t="s">
        <v>150</v>
      </c>
      <c r="E82" s="37" t="s">
        <v>170</v>
      </c>
      <c r="F82"/>
      <c r="G82"/>
    </row>
    <row r="83" spans="1:7" x14ac:dyDescent="0.25">
      <c r="A83" s="86" t="s">
        <v>152</v>
      </c>
      <c r="B83" s="86" t="s">
        <v>171</v>
      </c>
      <c r="C83" s="86" t="s">
        <v>172</v>
      </c>
      <c r="D83" s="86" t="s">
        <v>173</v>
      </c>
      <c r="E83" s="74">
        <v>13.8</v>
      </c>
      <c r="F83"/>
      <c r="G83"/>
    </row>
    <row r="84" spans="1:7" x14ac:dyDescent="0.25">
      <c r="A84" s="86" t="s">
        <v>152</v>
      </c>
      <c r="B84" s="86" t="s">
        <v>174</v>
      </c>
      <c r="C84" s="86" t="s">
        <v>172</v>
      </c>
      <c r="D84" s="86" t="s">
        <v>175</v>
      </c>
      <c r="E84" s="86">
        <v>12.9</v>
      </c>
      <c r="F84"/>
      <c r="G84"/>
    </row>
    <row r="85" spans="1:7" x14ac:dyDescent="0.25">
      <c r="A85" s="86" t="s">
        <v>152</v>
      </c>
      <c r="B85" s="86" t="s">
        <v>176</v>
      </c>
      <c r="C85" s="86" t="s">
        <v>172</v>
      </c>
      <c r="D85" s="86" t="s">
        <v>173</v>
      </c>
      <c r="E85" s="86">
        <v>14</v>
      </c>
      <c r="F85"/>
      <c r="G85"/>
    </row>
    <row r="86" spans="1:7" x14ac:dyDescent="0.25">
      <c r="A86" s="86" t="s">
        <v>152</v>
      </c>
      <c r="B86" s="86" t="s">
        <v>177</v>
      </c>
      <c r="C86" s="86" t="s">
        <v>172</v>
      </c>
      <c r="D86" s="86" t="s">
        <v>175</v>
      </c>
      <c r="E86" s="86">
        <v>12</v>
      </c>
      <c r="F86"/>
      <c r="G86"/>
    </row>
    <row r="87" spans="1:7" x14ac:dyDescent="0.25">
      <c r="A87" s="86" t="s">
        <v>152</v>
      </c>
      <c r="B87" s="86" t="s">
        <v>178</v>
      </c>
      <c r="C87" s="86" t="s">
        <v>172</v>
      </c>
      <c r="D87" s="86" t="s">
        <v>179</v>
      </c>
      <c r="E87" s="86">
        <v>10</v>
      </c>
      <c r="F87"/>
      <c r="G87"/>
    </row>
    <row r="88" spans="1:7" x14ac:dyDescent="0.25">
      <c r="A88" s="86" t="s">
        <v>152</v>
      </c>
      <c r="B88" s="86" t="s">
        <v>180</v>
      </c>
      <c r="C88" s="86" t="s">
        <v>172</v>
      </c>
      <c r="D88" s="86" t="s">
        <v>181</v>
      </c>
      <c r="E88" s="86">
        <v>12.3</v>
      </c>
      <c r="F88"/>
      <c r="G88"/>
    </row>
    <row r="89" spans="1:7" x14ac:dyDescent="0.25">
      <c r="A89" s="86" t="s">
        <v>182</v>
      </c>
      <c r="B89" s="86" t="s">
        <v>171</v>
      </c>
      <c r="C89" s="86" t="s">
        <v>183</v>
      </c>
      <c r="D89" s="86" t="s">
        <v>184</v>
      </c>
      <c r="E89" s="86">
        <v>12.7</v>
      </c>
      <c r="F89"/>
      <c r="G89"/>
    </row>
    <row r="90" spans="1:7" x14ac:dyDescent="0.25">
      <c r="A90" s="86" t="s">
        <v>182</v>
      </c>
      <c r="B90" s="86" t="s">
        <v>174</v>
      </c>
      <c r="C90" s="86" t="s">
        <v>183</v>
      </c>
      <c r="D90" s="86" t="s">
        <v>185</v>
      </c>
      <c r="E90" s="86">
        <v>12.2</v>
      </c>
      <c r="F90"/>
      <c r="G90"/>
    </row>
    <row r="91" spans="1:7" x14ac:dyDescent="0.25">
      <c r="A91" s="86" t="s">
        <v>182</v>
      </c>
      <c r="B91" s="86" t="s">
        <v>176</v>
      </c>
      <c r="C91" s="86" t="s">
        <v>183</v>
      </c>
      <c r="D91" s="86" t="s">
        <v>186</v>
      </c>
      <c r="E91" s="86">
        <v>11.5</v>
      </c>
      <c r="F91"/>
      <c r="G91"/>
    </row>
    <row r="92" spans="1:7" x14ac:dyDescent="0.25">
      <c r="A92" s="86" t="s">
        <v>182</v>
      </c>
      <c r="B92" s="86" t="s">
        <v>177</v>
      </c>
      <c r="C92" s="86" t="s">
        <v>183</v>
      </c>
      <c r="D92" s="86" t="s">
        <v>186</v>
      </c>
      <c r="E92" s="86">
        <v>10.3</v>
      </c>
      <c r="F92"/>
      <c r="G92"/>
    </row>
    <row r="93" spans="1:7" x14ac:dyDescent="0.25">
      <c r="A93" s="86" t="s">
        <v>182</v>
      </c>
      <c r="B93" s="86" t="s">
        <v>178</v>
      </c>
      <c r="C93" s="86" t="s">
        <v>183</v>
      </c>
      <c r="D93" s="86" t="s">
        <v>184</v>
      </c>
      <c r="E93" s="86">
        <v>8.8000000000000007</v>
      </c>
      <c r="F93"/>
      <c r="G93"/>
    </row>
    <row r="94" spans="1:7" x14ac:dyDescent="0.25">
      <c r="A94" s="86" t="s">
        <v>182</v>
      </c>
      <c r="B94" s="86" t="s">
        <v>180</v>
      </c>
      <c r="C94" s="86" t="s">
        <v>183</v>
      </c>
      <c r="D94" s="86" t="s">
        <v>175</v>
      </c>
      <c r="E94" s="86">
        <v>10.8</v>
      </c>
      <c r="F94"/>
      <c r="G94"/>
    </row>
    <row r="95" spans="1:7" x14ac:dyDescent="0.25">
      <c r="A95" s="86" t="s">
        <v>187</v>
      </c>
      <c r="B95" s="86" t="s">
        <v>171</v>
      </c>
      <c r="C95" s="86" t="s">
        <v>183</v>
      </c>
      <c r="D95" s="86" t="s">
        <v>185</v>
      </c>
      <c r="E95" s="86">
        <v>10.8</v>
      </c>
    </row>
    <row r="96" spans="1:7" ht="13.5" customHeight="1" x14ac:dyDescent="0.25">
      <c r="A96" s="86" t="s">
        <v>187</v>
      </c>
      <c r="B96" s="86" t="s">
        <v>174</v>
      </c>
      <c r="C96" s="86" t="s">
        <v>183</v>
      </c>
      <c r="D96" s="86" t="s">
        <v>186</v>
      </c>
      <c r="E96" s="86">
        <v>10.7</v>
      </c>
    </row>
    <row r="97" spans="1:5" x14ac:dyDescent="0.25">
      <c r="A97" s="86" t="s">
        <v>187</v>
      </c>
      <c r="B97" s="86" t="s">
        <v>176</v>
      </c>
      <c r="C97" s="86" t="s">
        <v>183</v>
      </c>
      <c r="D97" s="86" t="s">
        <v>179</v>
      </c>
      <c r="E97" s="86">
        <v>9.9</v>
      </c>
    </row>
    <row r="98" spans="1:5" x14ac:dyDescent="0.25">
      <c r="A98" s="86" t="s">
        <v>187</v>
      </c>
      <c r="B98" s="86" t="s">
        <v>177</v>
      </c>
      <c r="C98" s="86" t="s">
        <v>183</v>
      </c>
      <c r="D98" s="86" t="s">
        <v>173</v>
      </c>
      <c r="E98" s="86">
        <v>8.8000000000000007</v>
      </c>
    </row>
    <row r="99" spans="1:5" x14ac:dyDescent="0.25">
      <c r="A99" s="86" t="s">
        <v>187</v>
      </c>
      <c r="B99" s="86" t="s">
        <v>178</v>
      </c>
      <c r="C99" s="86" t="s">
        <v>183</v>
      </c>
      <c r="D99" s="86" t="s">
        <v>185</v>
      </c>
      <c r="E99" s="86">
        <v>7.7</v>
      </c>
    </row>
    <row r="100" spans="1:5" x14ac:dyDescent="0.25">
      <c r="A100" s="86" t="s">
        <v>187</v>
      </c>
      <c r="B100" s="86" t="s">
        <v>180</v>
      </c>
      <c r="C100" s="86" t="s">
        <v>188</v>
      </c>
      <c r="D100" s="86" t="s">
        <v>181</v>
      </c>
      <c r="E100" s="86">
        <v>10.1</v>
      </c>
    </row>
  </sheetData>
  <mergeCells count="14">
    <mergeCell ref="L2:M2"/>
    <mergeCell ref="N3:N5"/>
    <mergeCell ref="O3:O5"/>
    <mergeCell ref="B44:C44"/>
    <mergeCell ref="A77:C77"/>
    <mergeCell ref="P49:Q49"/>
    <mergeCell ref="R49:S49"/>
    <mergeCell ref="T49:U49"/>
    <mergeCell ref="A30:C30"/>
    <mergeCell ref="V49:W49"/>
    <mergeCell ref="P48:AC48"/>
    <mergeCell ref="X49:Y49"/>
    <mergeCell ref="Z49:AA49"/>
    <mergeCell ref="AB49:AC49"/>
  </mergeCells>
  <conditionalFormatting sqref="B2:D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8">
    <cfRule type="colorScale" priority="17">
      <colorScale>
        <cfvo type="min"/>
        <cfvo type="max"/>
        <color rgb="FFFCFCFF"/>
        <color rgb="FFF8696B"/>
      </colorScale>
    </cfRule>
  </conditionalFormatting>
  <conditionalFormatting sqref="B2:D8">
    <cfRule type="colorScale" priority="3">
      <colorScale>
        <cfvo type="min"/>
        <cfvo type="max"/>
        <color rgb="FFF8696B"/>
        <color rgb="FFFCFCFF"/>
      </colorScale>
    </cfRule>
  </conditionalFormatting>
  <conditionalFormatting sqref="B2:D8">
    <cfRule type="colorScale" priority="2">
      <colorScale>
        <cfvo type="min"/>
        <cfvo type="max"/>
        <color rgb="FFF8696B"/>
        <color rgb="FFFCFCFF"/>
      </colorScale>
    </cfRule>
  </conditionalFormatting>
  <conditionalFormatting sqref="B2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15F9-82C9-4FF6-827D-CE31EE1E1A65}">
  <dimension ref="A1:J35"/>
  <sheetViews>
    <sheetView tabSelected="1" topLeftCell="A13" workbookViewId="0">
      <selection activeCell="I34" sqref="I34"/>
    </sheetView>
  </sheetViews>
  <sheetFormatPr defaultRowHeight="13.2" x14ac:dyDescent="0.25"/>
  <cols>
    <col min="1" max="1" width="12.109375" bestFit="1" customWidth="1"/>
    <col min="2" max="2" width="14.21875" bestFit="1" customWidth="1"/>
    <col min="3" max="3" width="17" bestFit="1" customWidth="1"/>
    <col min="4" max="5" width="12.44140625" bestFit="1" customWidth="1"/>
    <col min="6" max="6" width="12.109375" bestFit="1" customWidth="1"/>
    <col min="7" max="7" width="14.21875" bestFit="1" customWidth="1"/>
    <col min="8" max="8" width="17" bestFit="1" customWidth="1"/>
    <col min="9" max="9" width="12.44140625" bestFit="1" customWidth="1"/>
  </cols>
  <sheetData>
    <row r="1" spans="1:10" x14ac:dyDescent="0.25">
      <c r="A1" s="106" t="s">
        <v>199</v>
      </c>
      <c r="F1" s="106" t="s">
        <v>200</v>
      </c>
    </row>
    <row r="2" spans="1:10" x14ac:dyDescent="0.25">
      <c r="A2" s="79" t="s">
        <v>86</v>
      </c>
      <c r="B2" s="80" t="s">
        <v>0</v>
      </c>
      <c r="C2" s="80" t="s">
        <v>1</v>
      </c>
      <c r="D2" s="80" t="s">
        <v>2</v>
      </c>
      <c r="E2" s="79"/>
      <c r="F2" s="79" t="s">
        <v>86</v>
      </c>
      <c r="G2" s="80" t="s">
        <v>0</v>
      </c>
      <c r="H2" s="80" t="s">
        <v>1</v>
      </c>
      <c r="I2" s="80" t="s">
        <v>2</v>
      </c>
    </row>
    <row r="3" spans="1:10" x14ac:dyDescent="0.25">
      <c r="A3" s="54" t="s">
        <v>89</v>
      </c>
      <c r="B3" s="13">
        <v>3051</v>
      </c>
      <c r="C3" s="13">
        <v>5872</v>
      </c>
      <c r="D3" s="13">
        <v>3310</v>
      </c>
      <c r="E3" s="38"/>
      <c r="F3" s="54" t="s">
        <v>89</v>
      </c>
      <c r="G3" s="13">
        <v>1422</v>
      </c>
      <c r="H3" s="13">
        <v>5</v>
      </c>
      <c r="I3" s="13">
        <v>49</v>
      </c>
    </row>
    <row r="4" spans="1:10" x14ac:dyDescent="0.25">
      <c r="A4" s="54" t="s">
        <v>93</v>
      </c>
      <c r="B4" s="13">
        <v>3370</v>
      </c>
      <c r="C4" s="13">
        <v>5733</v>
      </c>
      <c r="D4" s="13">
        <v>5754</v>
      </c>
      <c r="E4" s="54"/>
      <c r="F4" s="54" t="s">
        <v>93</v>
      </c>
      <c r="G4" s="13">
        <v>18312</v>
      </c>
      <c r="H4" s="13">
        <v>82</v>
      </c>
      <c r="I4" s="13">
        <v>1395</v>
      </c>
    </row>
    <row r="5" spans="1:10" x14ac:dyDescent="0.25">
      <c r="A5" s="54" t="s">
        <v>96</v>
      </c>
      <c r="B5" s="13">
        <v>3370</v>
      </c>
      <c r="C5" s="13">
        <v>5733</v>
      </c>
      <c r="D5" s="13">
        <v>5754</v>
      </c>
      <c r="E5" s="54"/>
      <c r="F5" s="54" t="s">
        <v>96</v>
      </c>
      <c r="G5" s="13">
        <v>10196</v>
      </c>
      <c r="H5" s="13">
        <v>21</v>
      </c>
      <c r="I5" s="13">
        <v>394</v>
      </c>
    </row>
    <row r="6" spans="1:10" x14ac:dyDescent="0.25">
      <c r="A6" s="54" t="s">
        <v>99</v>
      </c>
      <c r="B6" s="13">
        <v>3370</v>
      </c>
      <c r="C6" s="13">
        <v>5733</v>
      </c>
      <c r="D6" s="13">
        <v>5754</v>
      </c>
      <c r="E6" s="54"/>
      <c r="F6" s="54" t="s">
        <v>99</v>
      </c>
      <c r="G6" s="13">
        <v>3323</v>
      </c>
      <c r="H6" s="13">
        <v>5</v>
      </c>
      <c r="I6" s="13">
        <v>139</v>
      </c>
    </row>
    <row r="7" spans="1:10" x14ac:dyDescent="0.25">
      <c r="A7" s="54" t="s">
        <v>102</v>
      </c>
      <c r="B7" s="13">
        <v>3051</v>
      </c>
      <c r="C7" s="13">
        <v>5871</v>
      </c>
      <c r="D7" s="13">
        <v>5245</v>
      </c>
      <c r="E7" s="54"/>
      <c r="F7" s="54" t="s">
        <v>102</v>
      </c>
      <c r="G7" s="13">
        <v>1521</v>
      </c>
      <c r="H7" s="13">
        <v>0</v>
      </c>
      <c r="I7" s="13">
        <v>20</v>
      </c>
    </row>
    <row r="8" spans="1:10" x14ac:dyDescent="0.25">
      <c r="A8" s="54" t="s">
        <v>104</v>
      </c>
      <c r="B8" s="13">
        <v>3526</v>
      </c>
      <c r="C8" s="13">
        <v>6028</v>
      </c>
      <c r="D8" s="13">
        <v>3245</v>
      </c>
      <c r="E8" s="39"/>
      <c r="F8" s="54" t="s">
        <v>104</v>
      </c>
      <c r="G8" s="13">
        <v>9437</v>
      </c>
      <c r="H8" s="13">
        <v>13</v>
      </c>
      <c r="I8" s="13">
        <v>95</v>
      </c>
    </row>
    <row r="9" spans="1:10" x14ac:dyDescent="0.25">
      <c r="A9" s="54" t="s">
        <v>78</v>
      </c>
      <c r="B9" s="13">
        <v>3198</v>
      </c>
      <c r="C9" s="13">
        <v>17955</v>
      </c>
      <c r="D9" s="13">
        <v>5869</v>
      </c>
      <c r="E9" s="39"/>
      <c r="F9" s="54" t="s">
        <v>78</v>
      </c>
      <c r="G9" s="13">
        <v>8696</v>
      </c>
      <c r="H9" s="13">
        <v>14</v>
      </c>
      <c r="I9" s="13">
        <v>103</v>
      </c>
    </row>
    <row r="10" spans="1:10" x14ac:dyDescent="0.25">
      <c r="A10" s="79" t="s">
        <v>105</v>
      </c>
      <c r="B10" s="13">
        <f>SUM(B3:B9)</f>
        <v>22936</v>
      </c>
      <c r="C10" s="13">
        <f t="shared" ref="C10:D10" si="0">SUM(C3:C9)</f>
        <v>52925</v>
      </c>
      <c r="D10" s="13">
        <f t="shared" si="0"/>
        <v>34931</v>
      </c>
      <c r="F10" s="79" t="s">
        <v>105</v>
      </c>
      <c r="G10" s="13">
        <f>SUM(G3:G9)</f>
        <v>52907</v>
      </c>
      <c r="H10" s="13">
        <f t="shared" ref="H10:I10" si="1">SUM(H3:H9)</f>
        <v>140</v>
      </c>
      <c r="I10" s="13">
        <f t="shared" si="1"/>
        <v>2195</v>
      </c>
    </row>
    <row r="11" spans="1:10" x14ac:dyDescent="0.25">
      <c r="A11" s="38" t="s">
        <v>106</v>
      </c>
      <c r="B11" s="14">
        <v>5550</v>
      </c>
      <c r="C11" s="14"/>
      <c r="D11" s="14"/>
      <c r="F11" s="38" t="s">
        <v>106</v>
      </c>
      <c r="G11" s="14">
        <v>5550</v>
      </c>
      <c r="H11" s="14"/>
      <c r="I11" s="14"/>
    </row>
    <row r="13" spans="1:10" x14ac:dyDescent="0.25">
      <c r="A13" s="106" t="s">
        <v>201</v>
      </c>
      <c r="E13" s="79"/>
      <c r="F13" s="38" t="s">
        <v>203</v>
      </c>
    </row>
    <row r="14" spans="1:10" x14ac:dyDescent="0.25">
      <c r="A14" s="79" t="s">
        <v>86</v>
      </c>
      <c r="B14" s="80" t="s">
        <v>0</v>
      </c>
      <c r="C14" s="80" t="s">
        <v>1</v>
      </c>
      <c r="D14" s="80" t="s">
        <v>2</v>
      </c>
      <c r="E14" s="38"/>
      <c r="F14" s="79" t="s">
        <v>86</v>
      </c>
      <c r="G14" s="80" t="s">
        <v>0</v>
      </c>
      <c r="H14" s="80" t="s">
        <v>1</v>
      </c>
      <c r="I14" s="80" t="s">
        <v>2</v>
      </c>
      <c r="J14" s="107" t="s">
        <v>204</v>
      </c>
    </row>
    <row r="15" spans="1:10" x14ac:dyDescent="0.25">
      <c r="A15" s="54" t="s">
        <v>89</v>
      </c>
      <c r="B15" s="13">
        <v>2389</v>
      </c>
      <c r="C15" s="13">
        <v>5452</v>
      </c>
      <c r="D15" s="13">
        <v>5452</v>
      </c>
      <c r="E15" s="54"/>
      <c r="F15" s="54" t="s">
        <v>89</v>
      </c>
      <c r="G15" s="13">
        <f>G3*B3+G3*Table91517[[#This Row],[Appartment]]</f>
        <v>7735680</v>
      </c>
      <c r="H15" s="13">
        <f>H3*C3+H3*Table91517[[#This Row],[Semi-detached]]</f>
        <v>56620</v>
      </c>
      <c r="I15" s="13">
        <f>I3*D3+I3*Table91517[[#This Row],[Terraced]]</f>
        <v>429338</v>
      </c>
      <c r="J15" s="13">
        <f>SUM(Table91520[[#This Row],[Appartment]:[Terraced]])</f>
        <v>8221638</v>
      </c>
    </row>
    <row r="16" spans="1:10" x14ac:dyDescent="0.25">
      <c r="A16" s="54" t="s">
        <v>93</v>
      </c>
      <c r="B16" s="13">
        <v>2389</v>
      </c>
      <c r="C16" s="13">
        <v>5452</v>
      </c>
      <c r="D16" s="13">
        <v>5452</v>
      </c>
      <c r="E16" s="54"/>
      <c r="F16" s="54" t="s">
        <v>93</v>
      </c>
      <c r="G16" s="13">
        <f>G4*B4+G4*Table91517[[#This Row],[Appartment]]</f>
        <v>105458808</v>
      </c>
      <c r="H16" s="13">
        <f>H4*C4+H4*Table91517[[#This Row],[Semi-detached]]</f>
        <v>917170</v>
      </c>
      <c r="I16" s="13">
        <f>I4*D4+I4*Table91517[[#This Row],[Terraced]]</f>
        <v>15632370</v>
      </c>
      <c r="J16" s="13">
        <f>SUM(Table91520[[#This Row],[Appartment]:[Terraced]])</f>
        <v>122008348</v>
      </c>
    </row>
    <row r="17" spans="1:10" x14ac:dyDescent="0.25">
      <c r="A17" s="54" t="s">
        <v>96</v>
      </c>
      <c r="B17" s="13">
        <v>2389</v>
      </c>
      <c r="C17" s="13">
        <v>5452</v>
      </c>
      <c r="D17" s="13">
        <v>5452</v>
      </c>
      <c r="E17" s="54"/>
      <c r="F17" s="54" t="s">
        <v>96</v>
      </c>
      <c r="G17" s="13">
        <f>G5*B5+G5*Table91517[[#This Row],[Appartment]]</f>
        <v>58718764</v>
      </c>
      <c r="H17" s="13">
        <f>H5*C5+H5*Table91517[[#This Row],[Semi-detached]]</f>
        <v>234885</v>
      </c>
      <c r="I17" s="13">
        <f>I5*D5+I5*Table91517[[#This Row],[Terraced]]</f>
        <v>4415164</v>
      </c>
      <c r="J17" s="13">
        <f>SUM(Table91520[[#This Row],[Appartment]:[Terraced]])</f>
        <v>63368813</v>
      </c>
    </row>
    <row r="18" spans="1:10" x14ac:dyDescent="0.25">
      <c r="A18" s="54" t="s">
        <v>99</v>
      </c>
      <c r="B18" s="13">
        <v>2389</v>
      </c>
      <c r="C18" s="13">
        <v>5452</v>
      </c>
      <c r="D18" s="13">
        <v>5452</v>
      </c>
      <c r="E18" s="54"/>
      <c r="F18" s="54" t="s">
        <v>99</v>
      </c>
      <c r="G18" s="13">
        <f>G6*B6+G6*Table91517[[#This Row],[Appartment]]</f>
        <v>19137157</v>
      </c>
      <c r="H18" s="13">
        <f>H6*C6+H6*Table91517[[#This Row],[Semi-detached]]</f>
        <v>55925</v>
      </c>
      <c r="I18" s="13">
        <f>I6*D6+I6*Table91517[[#This Row],[Terraced]]</f>
        <v>1557634</v>
      </c>
      <c r="J18" s="13">
        <f>SUM(Table91520[[#This Row],[Appartment]:[Terraced]])</f>
        <v>20750716</v>
      </c>
    </row>
    <row r="19" spans="1:10" x14ac:dyDescent="0.25">
      <c r="A19" s="54" t="s">
        <v>102</v>
      </c>
      <c r="B19" s="13">
        <v>2389</v>
      </c>
      <c r="C19" s="13">
        <v>5452</v>
      </c>
      <c r="D19" s="13">
        <v>5452</v>
      </c>
      <c r="E19" s="39"/>
      <c r="F19" s="54" t="s">
        <v>102</v>
      </c>
      <c r="G19" s="13">
        <f>G7*B7+G7*Table91517[[#This Row],[Appartment]]</f>
        <v>8274240</v>
      </c>
      <c r="H19" s="13">
        <f>H7*C7+H7*Table91517[[#This Row],[Semi-detached]]</f>
        <v>0</v>
      </c>
      <c r="I19" s="13">
        <f>I7*D7+I7*Table91517[[#This Row],[Terraced]]</f>
        <v>213940</v>
      </c>
      <c r="J19" s="13">
        <f>SUM(Table91520[[#This Row],[Appartment]:[Terraced]])</f>
        <v>8488180</v>
      </c>
    </row>
    <row r="20" spans="1:10" x14ac:dyDescent="0.25">
      <c r="A20" s="54" t="s">
        <v>104</v>
      </c>
      <c r="B20" s="13">
        <v>2389</v>
      </c>
      <c r="C20" s="13">
        <v>5452</v>
      </c>
      <c r="D20" s="13">
        <v>5452</v>
      </c>
      <c r="E20" s="39"/>
      <c r="F20" s="54" t="s">
        <v>104</v>
      </c>
      <c r="G20" s="13">
        <f>G8*B8+G8*Table91517[[#This Row],[Appartment]]</f>
        <v>55819855</v>
      </c>
      <c r="H20" s="13">
        <f>H8*C8+H8*Table91517[[#This Row],[Semi-detached]]</f>
        <v>149240</v>
      </c>
      <c r="I20" s="13">
        <f>I8*D8+I8*Table91517[[#This Row],[Terraced]]</f>
        <v>826215</v>
      </c>
      <c r="J20" s="13">
        <f>SUM(Table91520[[#This Row],[Appartment]:[Terraced]])</f>
        <v>56795310</v>
      </c>
    </row>
    <row r="21" spans="1:10" x14ac:dyDescent="0.25">
      <c r="A21" s="54" t="s">
        <v>78</v>
      </c>
      <c r="B21" s="13">
        <v>2389</v>
      </c>
      <c r="C21" s="13">
        <v>5452</v>
      </c>
      <c r="D21" s="13">
        <v>5452</v>
      </c>
      <c r="F21" s="54" t="s">
        <v>78</v>
      </c>
      <c r="G21" s="13">
        <f>G9*B9+G9*Table91517[[#This Row],[Appartment]]</f>
        <v>48584552</v>
      </c>
      <c r="H21" s="13">
        <f>H9*C9+H9*Table91517[[#This Row],[Semi-detached]]</f>
        <v>327698</v>
      </c>
      <c r="I21" s="13">
        <f>I9*D9+I9*Table91517[[#This Row],[Terraced]]</f>
        <v>1166063</v>
      </c>
      <c r="J21" s="13">
        <f>SUM(Table91520[[#This Row],[Appartment]:[Terraced]])</f>
        <v>50078313</v>
      </c>
    </row>
    <row r="22" spans="1:10" x14ac:dyDescent="0.25">
      <c r="A22" s="79" t="s">
        <v>105</v>
      </c>
      <c r="B22" s="13">
        <f>SUM(B15:B21)</f>
        <v>16723</v>
      </c>
      <c r="C22" s="13">
        <f t="shared" ref="C22:D22" si="2">SUM(C15:C21)</f>
        <v>38164</v>
      </c>
      <c r="D22" s="13">
        <f t="shared" si="2"/>
        <v>38164</v>
      </c>
      <c r="F22" s="79" t="s">
        <v>105</v>
      </c>
      <c r="G22" s="13">
        <f>SUM(G15:G21)</f>
        <v>303729056</v>
      </c>
      <c r="H22" s="13">
        <f t="shared" ref="H22:I22" si="3">SUM(H15:H21)</f>
        <v>1741538</v>
      </c>
      <c r="I22" s="13">
        <f t="shared" si="3"/>
        <v>24240724</v>
      </c>
      <c r="J22" s="13">
        <f>SUM(Table91520[[#This Row],[Appartment]:[Terraced]])</f>
        <v>329711318</v>
      </c>
    </row>
    <row r="23" spans="1:10" x14ac:dyDescent="0.25">
      <c r="A23" s="38" t="s">
        <v>106</v>
      </c>
      <c r="B23" s="14">
        <v>5550</v>
      </c>
      <c r="C23" s="14"/>
      <c r="D23" s="14"/>
      <c r="F23" s="38" t="s">
        <v>106</v>
      </c>
      <c r="G23" s="14">
        <v>5550</v>
      </c>
      <c r="H23" s="14"/>
      <c r="I23" s="14"/>
      <c r="J23" s="13">
        <f>SUM(Table91520[[#This Row],[Appartment]:[Terraced]])</f>
        <v>5550</v>
      </c>
    </row>
    <row r="25" spans="1:10" x14ac:dyDescent="0.25">
      <c r="A25" s="106" t="s">
        <v>202</v>
      </c>
      <c r="F25" s="106" t="s">
        <v>202</v>
      </c>
    </row>
    <row r="26" spans="1:10" x14ac:dyDescent="0.25">
      <c r="A26" s="79" t="s">
        <v>86</v>
      </c>
      <c r="B26" s="80" t="s">
        <v>0</v>
      </c>
      <c r="C26" s="80" t="s">
        <v>1</v>
      </c>
      <c r="D26" s="80" t="s">
        <v>2</v>
      </c>
      <c r="F26" s="79" t="s">
        <v>86</v>
      </c>
      <c r="G26" s="80" t="s">
        <v>0</v>
      </c>
      <c r="H26" s="80" t="s">
        <v>1</v>
      </c>
      <c r="I26" s="80" t="s">
        <v>2</v>
      </c>
      <c r="J26" s="107" t="s">
        <v>204</v>
      </c>
    </row>
    <row r="27" spans="1:10" x14ac:dyDescent="0.25">
      <c r="A27" s="54" t="s">
        <v>89</v>
      </c>
      <c r="B27" s="13">
        <v>69</v>
      </c>
      <c r="C27" s="13">
        <v>422</v>
      </c>
      <c r="D27" s="13">
        <v>407</v>
      </c>
      <c r="F27" s="54" t="s">
        <v>89</v>
      </c>
      <c r="G27" s="13">
        <f>G3*Table91521[[#This Row],[Appartment]]</f>
        <v>98118</v>
      </c>
      <c r="H27" s="13">
        <f>H3*Table91521[[#This Row],[Semi-detached]]</f>
        <v>2110</v>
      </c>
      <c r="I27" s="13">
        <f>I3*Table91521[[#This Row],[Terraced]]</f>
        <v>19943</v>
      </c>
      <c r="J27" s="13">
        <f>SUM(Table9152022[[#This Row],[Appartment]:[Terraced]])</f>
        <v>120171</v>
      </c>
    </row>
    <row r="28" spans="1:10" x14ac:dyDescent="0.25">
      <c r="A28" s="54" t="s">
        <v>93</v>
      </c>
      <c r="B28" s="13">
        <v>70</v>
      </c>
      <c r="C28" s="13">
        <v>437</v>
      </c>
      <c r="D28" s="13">
        <v>478</v>
      </c>
      <c r="F28" s="54" t="s">
        <v>93</v>
      </c>
      <c r="G28" s="13">
        <f>G4*Table91521[[#This Row],[Appartment]]</f>
        <v>1281840</v>
      </c>
      <c r="H28" s="13">
        <f>H4*Table91521[[#This Row],[Semi-detached]]</f>
        <v>35834</v>
      </c>
      <c r="I28" s="13">
        <f>I4*Table91521[[#This Row],[Terraced]]</f>
        <v>666810</v>
      </c>
      <c r="J28" s="13">
        <f>SUM(Table9152022[[#This Row],[Appartment]:[Terraced]])</f>
        <v>1984484</v>
      </c>
    </row>
    <row r="29" spans="1:10" x14ac:dyDescent="0.25">
      <c r="A29" s="54" t="s">
        <v>96</v>
      </c>
      <c r="B29" s="13">
        <v>70</v>
      </c>
      <c r="C29" s="13">
        <v>437</v>
      </c>
      <c r="D29" s="13">
        <v>478</v>
      </c>
      <c r="F29" s="54" t="s">
        <v>96</v>
      </c>
      <c r="G29" s="13">
        <f>G5*Table91521[[#This Row],[Appartment]]</f>
        <v>713720</v>
      </c>
      <c r="H29" s="13">
        <f>H5*Table91521[[#This Row],[Semi-detached]]</f>
        <v>9177</v>
      </c>
      <c r="I29" s="13">
        <f>I5*Table91521[[#This Row],[Terraced]]</f>
        <v>188332</v>
      </c>
      <c r="J29" s="13">
        <f>SUM(Table9152022[[#This Row],[Appartment]:[Terraced]])</f>
        <v>911229</v>
      </c>
    </row>
    <row r="30" spans="1:10" x14ac:dyDescent="0.25">
      <c r="A30" s="54" t="s">
        <v>99</v>
      </c>
      <c r="B30" s="13">
        <v>70</v>
      </c>
      <c r="C30" s="13">
        <v>437</v>
      </c>
      <c r="D30" s="13">
        <v>478</v>
      </c>
      <c r="F30" s="54" t="s">
        <v>99</v>
      </c>
      <c r="G30" s="13">
        <f>G6*Table91521[[#This Row],[Appartment]]</f>
        <v>232610</v>
      </c>
      <c r="H30" s="13">
        <f>H6*Table91521[[#This Row],[Semi-detached]]</f>
        <v>2185</v>
      </c>
      <c r="I30" s="13">
        <f>I6*Table91521[[#This Row],[Terraced]]</f>
        <v>66442</v>
      </c>
      <c r="J30" s="13">
        <f>SUM(Table9152022[[#This Row],[Appartment]:[Terraced]])</f>
        <v>301237</v>
      </c>
    </row>
    <row r="31" spans="1:10" x14ac:dyDescent="0.25">
      <c r="A31" s="54" t="s">
        <v>102</v>
      </c>
      <c r="B31" s="13">
        <v>69</v>
      </c>
      <c r="C31" s="13">
        <v>422</v>
      </c>
      <c r="D31" s="13">
        <v>447</v>
      </c>
      <c r="F31" s="54" t="s">
        <v>102</v>
      </c>
      <c r="G31" s="13">
        <f>G7*Table91521[[#This Row],[Appartment]]</f>
        <v>104949</v>
      </c>
      <c r="H31" s="13">
        <f>H7*Table91521[[#This Row],[Semi-detached]]</f>
        <v>0</v>
      </c>
      <c r="I31" s="13">
        <f>I7*Table91521[[#This Row],[Terraced]]</f>
        <v>8940</v>
      </c>
      <c r="J31" s="13">
        <f>SUM(Table9152022[[#This Row],[Appartment]:[Terraced]])</f>
        <v>113889</v>
      </c>
    </row>
    <row r="32" spans="1:10" x14ac:dyDescent="0.25">
      <c r="A32" s="54" t="s">
        <v>104</v>
      </c>
      <c r="B32" s="13">
        <v>69</v>
      </c>
      <c r="C32" s="13">
        <v>422</v>
      </c>
      <c r="D32" s="13">
        <v>408</v>
      </c>
      <c r="F32" s="54" t="s">
        <v>104</v>
      </c>
      <c r="G32" s="13">
        <f>G8*Table91521[[#This Row],[Appartment]]</f>
        <v>651153</v>
      </c>
      <c r="H32" s="13">
        <f>H8*Table91521[[#This Row],[Semi-detached]]</f>
        <v>5486</v>
      </c>
      <c r="I32" s="13">
        <f>I8*Table91521[[#This Row],[Terraced]]</f>
        <v>38760</v>
      </c>
      <c r="J32" s="13">
        <f>SUM(Table9152022[[#This Row],[Appartment]:[Terraced]])</f>
        <v>695399</v>
      </c>
    </row>
    <row r="33" spans="1:10" x14ac:dyDescent="0.25">
      <c r="A33" s="54" t="s">
        <v>78</v>
      </c>
      <c r="B33" s="13">
        <v>69</v>
      </c>
      <c r="C33" s="13">
        <v>450</v>
      </c>
      <c r="D33" s="13">
        <v>392</v>
      </c>
      <c r="F33" s="54" t="s">
        <v>78</v>
      </c>
      <c r="G33" s="13">
        <f>G9*Table91521[[#This Row],[Appartment]]</f>
        <v>600024</v>
      </c>
      <c r="H33" s="13">
        <f>H9*Table91521[[#This Row],[Semi-detached]]</f>
        <v>6300</v>
      </c>
      <c r="I33" s="13">
        <f>I9*Table91521[[#This Row],[Terraced]]</f>
        <v>40376</v>
      </c>
      <c r="J33" s="13">
        <f>SUM(Table9152022[[#This Row],[Appartment]:[Terraced]])</f>
        <v>646700</v>
      </c>
    </row>
    <row r="34" spans="1:10" x14ac:dyDescent="0.25">
      <c r="A34" s="79" t="s">
        <v>105</v>
      </c>
      <c r="B34" s="13">
        <f>SUM(B27:B33)</f>
        <v>486</v>
      </c>
      <c r="C34" s="13">
        <f t="shared" ref="C34:D34" si="4">SUM(C27:C33)</f>
        <v>3027</v>
      </c>
      <c r="D34" s="13">
        <f t="shared" si="4"/>
        <v>3088</v>
      </c>
      <c r="F34" s="79" t="s">
        <v>105</v>
      </c>
      <c r="G34" s="13">
        <f>SUM(G27:G33)</f>
        <v>3682414</v>
      </c>
      <c r="H34" s="13">
        <f t="shared" ref="H34:I34" si="5">SUM(H27:H33)</f>
        <v>61092</v>
      </c>
      <c r="I34" s="13">
        <f t="shared" si="5"/>
        <v>1029603</v>
      </c>
      <c r="J34" s="13">
        <f>SUM(Table9152022[[#This Row],[Appartment]:[Terraced]])</f>
        <v>4773109</v>
      </c>
    </row>
    <row r="35" spans="1:10" x14ac:dyDescent="0.25">
      <c r="A35" s="38" t="s">
        <v>106</v>
      </c>
      <c r="B35" s="14">
        <v>5550</v>
      </c>
      <c r="C35" s="14"/>
      <c r="D35" s="14"/>
      <c r="F35" s="38" t="s">
        <v>106</v>
      </c>
      <c r="G35" s="14">
        <v>5550</v>
      </c>
      <c r="H35" s="14"/>
      <c r="I35" s="14"/>
      <c r="J35" s="13">
        <f>SUM(Table9152022[[#This Row],[Appartment]:[Terraced]])</f>
        <v>5550</v>
      </c>
    </row>
  </sheetData>
  <conditionalFormatting sqref="B8:C8 B7 D7:D9 B3:D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C8 B7 D7:D9 B3:D6">
    <cfRule type="colorScale" priority="35">
      <colorScale>
        <cfvo type="min"/>
        <cfvo type="max"/>
        <color rgb="FFFCFCFF"/>
        <color rgb="FFF8696B"/>
      </colorScale>
    </cfRule>
  </conditionalFormatting>
  <conditionalFormatting sqref="B8:C8 B7 D7:D9 B3:D6">
    <cfRule type="colorScale" priority="33">
      <colorScale>
        <cfvo type="min"/>
        <cfvo type="max"/>
        <color rgb="FFF8696B"/>
        <color rgb="FFFCFCFF"/>
      </colorScale>
    </cfRule>
  </conditionalFormatting>
  <conditionalFormatting sqref="B15:D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D21">
    <cfRule type="colorScale" priority="30">
      <colorScale>
        <cfvo type="min"/>
        <cfvo type="max"/>
        <color rgb="FFFCFCFF"/>
        <color rgb="FFF8696B"/>
      </colorScale>
    </cfRule>
  </conditionalFormatting>
  <conditionalFormatting sqref="B15:D21">
    <cfRule type="colorScale" priority="28">
      <colorScale>
        <cfvo type="min"/>
        <cfvo type="max"/>
        <color rgb="FFF8696B"/>
        <color rgb="FFFCFCFF"/>
      </colorScale>
    </cfRule>
  </conditionalFormatting>
  <conditionalFormatting sqref="B15:D21">
    <cfRule type="colorScale" priority="27">
      <colorScale>
        <cfvo type="min"/>
        <cfvo type="max"/>
        <color rgb="FFF8696B"/>
        <color rgb="FFFCFCFF"/>
      </colorScale>
    </cfRule>
  </conditionalFormatting>
  <conditionalFormatting sqref="B15:D21">
    <cfRule type="colorScale" priority="26">
      <colorScale>
        <cfvo type="min"/>
        <cfvo type="max"/>
        <color rgb="FFFCFCFF"/>
        <color rgb="FFF8696B"/>
      </colorScale>
    </cfRule>
  </conditionalFormatting>
  <conditionalFormatting sqref="G3:I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9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:I9">
    <cfRule type="colorScale" priority="23">
      <colorScale>
        <cfvo type="min"/>
        <cfvo type="max"/>
        <color rgb="FFF8696B"/>
        <color rgb="FFFCFCFF"/>
      </colorScale>
    </cfRule>
  </conditionalFormatting>
  <conditionalFormatting sqref="G3:I9">
    <cfRule type="colorScale" priority="22">
      <colorScale>
        <cfvo type="min"/>
        <cfvo type="max"/>
        <color rgb="FFF8696B"/>
        <color rgb="FFFCFCFF"/>
      </colorScale>
    </cfRule>
  </conditionalFormatting>
  <conditionalFormatting sqref="G3:I9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5:I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I21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5:I21">
    <cfRule type="colorScale" priority="18">
      <colorScale>
        <cfvo type="min"/>
        <cfvo type="max"/>
        <color rgb="FFF8696B"/>
        <color rgb="FFFCFCFF"/>
      </colorScale>
    </cfRule>
  </conditionalFormatting>
  <conditionalFormatting sqref="G15:I21">
    <cfRule type="colorScale" priority="17">
      <colorScale>
        <cfvo type="min"/>
        <cfvo type="max"/>
        <color rgb="FFF8696B"/>
        <color rgb="FFFCFCFF"/>
      </colorScale>
    </cfRule>
  </conditionalFormatting>
  <conditionalFormatting sqref="G15:I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B27:D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33">
    <cfRule type="colorScale" priority="15">
      <colorScale>
        <cfvo type="min"/>
        <cfvo type="max"/>
        <color rgb="FFFCFCFF"/>
        <color rgb="FFF8696B"/>
      </colorScale>
    </cfRule>
  </conditionalFormatting>
  <conditionalFormatting sqref="B27:D33">
    <cfRule type="colorScale" priority="13">
      <colorScale>
        <cfvo type="min"/>
        <cfvo type="max"/>
        <color rgb="FFF8696B"/>
        <color rgb="FFFCFCFF"/>
      </colorScale>
    </cfRule>
  </conditionalFormatting>
  <conditionalFormatting sqref="B27:D33">
    <cfRule type="colorScale" priority="12">
      <colorScale>
        <cfvo type="min"/>
        <cfvo type="max"/>
        <color rgb="FFF8696B"/>
        <color rgb="FFFCFCFF"/>
      </colorScale>
    </cfRule>
  </conditionalFormatting>
  <conditionalFormatting sqref="B27:D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7:I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I33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7:I33">
    <cfRule type="colorScale" priority="8">
      <colorScale>
        <cfvo type="min"/>
        <cfvo type="max"/>
        <color rgb="FFF8696B"/>
        <color rgb="FFFCFCFF"/>
      </colorScale>
    </cfRule>
  </conditionalFormatting>
  <conditionalFormatting sqref="G27:I33">
    <cfRule type="colorScale" priority="7">
      <colorScale>
        <cfvo type="min"/>
        <cfvo type="max"/>
        <color rgb="FFF8696B"/>
        <color rgb="FFFCFCFF"/>
      </colorScale>
    </cfRule>
  </conditionalFormatting>
  <conditionalFormatting sqref="G27:I33">
    <cfRule type="colorScale" priority="6">
      <colorScale>
        <cfvo type="min"/>
        <cfvo type="max"/>
        <color rgb="FFFCFCFF"/>
        <color rgb="FFF8696B"/>
      </colorScale>
    </cfRule>
  </conditionalFormatting>
  <conditionalFormatting sqref="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5">
      <colorScale>
        <cfvo type="min"/>
        <cfvo type="max"/>
        <color rgb="FFFCFCFF"/>
        <color rgb="FFF8696B"/>
      </colorScale>
    </cfRule>
  </conditionalFormatting>
  <conditionalFormatting sqref="C9">
    <cfRule type="colorScale" priority="3">
      <colorScale>
        <cfvo type="min"/>
        <cfvo type="max"/>
        <color rgb="FFF8696B"/>
        <color rgb="FFFCFCFF"/>
      </colorScale>
    </cfRule>
  </conditionalFormatting>
  <conditionalFormatting sqref="C9">
    <cfRule type="colorScale" priority="2">
      <colorScale>
        <cfvo type="min"/>
        <cfvo type="max"/>
        <color rgb="FFF8696B"/>
        <color rgb="FFFCFCFF"/>
      </colorScale>
    </cfRule>
  </conditionalFormatting>
  <conditionalFormatting sqref="C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69E2-9147-4E93-A990-0003EB6BC648}">
  <dimension ref="A4:G36"/>
  <sheetViews>
    <sheetView workbookViewId="0">
      <selection activeCell="F34" sqref="F34"/>
    </sheetView>
  </sheetViews>
  <sheetFormatPr defaultRowHeight="13.2" x14ac:dyDescent="0.25"/>
  <cols>
    <col min="2" max="2" width="14.109375" customWidth="1"/>
    <col min="3" max="3" width="16.88671875" style="10" customWidth="1"/>
    <col min="4" max="4" width="16.44140625" style="10" customWidth="1"/>
    <col min="5" max="5" width="19.6640625" style="10" customWidth="1"/>
    <col min="6" max="6" width="18.33203125" style="10" customWidth="1"/>
  </cols>
  <sheetData>
    <row r="4" spans="1:7" s="9" customFormat="1" x14ac:dyDescent="0.25">
      <c r="A4" s="12"/>
      <c r="B4" s="21" t="s">
        <v>0</v>
      </c>
      <c r="C4" s="21" t="s">
        <v>189</v>
      </c>
      <c r="D4" s="21" t="s">
        <v>190</v>
      </c>
      <c r="E4" s="21" t="s">
        <v>191</v>
      </c>
      <c r="F4" s="21" t="s">
        <v>192</v>
      </c>
      <c r="G4" s="12"/>
    </row>
    <row r="5" spans="1:7" s="9" customFormat="1" x14ac:dyDescent="0.25">
      <c r="A5" s="12"/>
      <c r="B5" s="22" t="s">
        <v>193</v>
      </c>
      <c r="C5" s="23">
        <v>240</v>
      </c>
      <c r="D5" s="23">
        <v>200</v>
      </c>
      <c r="E5" s="23">
        <v>150</v>
      </c>
      <c r="F5" s="23">
        <v>70</v>
      </c>
      <c r="G5" s="12"/>
    </row>
    <row r="6" spans="1:7" s="9" customFormat="1" x14ac:dyDescent="0.25">
      <c r="A6" s="12"/>
      <c r="B6" s="22" t="s">
        <v>194</v>
      </c>
      <c r="C6" s="23">
        <v>242.24</v>
      </c>
      <c r="D6" s="23">
        <v>158.33000000000001</v>
      </c>
      <c r="E6" s="23">
        <v>92.74</v>
      </c>
      <c r="F6" s="23">
        <v>77.3</v>
      </c>
      <c r="G6" s="12"/>
    </row>
    <row r="7" spans="1:7" s="9" customFormat="1" x14ac:dyDescent="0.25">
      <c r="A7" s="12"/>
      <c r="B7" s="24" t="s">
        <v>195</v>
      </c>
      <c r="C7" s="25">
        <v>156.69999999999999</v>
      </c>
      <c r="D7" s="25">
        <v>110.7</v>
      </c>
      <c r="E7" s="25">
        <v>62.93</v>
      </c>
      <c r="F7" s="25">
        <v>41.48</v>
      </c>
      <c r="G7" s="12"/>
    </row>
    <row r="8" spans="1:7" s="9" customFormat="1" x14ac:dyDescent="0.25">
      <c r="A8" s="12"/>
      <c r="B8" s="22" t="s">
        <v>196</v>
      </c>
      <c r="C8" s="23">
        <v>150.69999999999999</v>
      </c>
      <c r="D8" s="23">
        <v>90.5</v>
      </c>
      <c r="E8" s="23">
        <v>46.9</v>
      </c>
      <c r="F8" s="23">
        <v>31.9</v>
      </c>
      <c r="G8" s="12"/>
    </row>
    <row r="9" spans="1:7" s="9" customFormat="1" x14ac:dyDescent="0.25">
      <c r="A9" s="12"/>
      <c r="B9" s="104"/>
      <c r="C9" s="105"/>
      <c r="D9" s="105"/>
      <c r="E9" s="105"/>
      <c r="F9" s="105"/>
      <c r="G9" s="12"/>
    </row>
    <row r="10" spans="1:7" x14ac:dyDescent="0.25">
      <c r="A10" s="13"/>
      <c r="B10" s="13"/>
      <c r="C10" s="14"/>
      <c r="D10" s="14"/>
      <c r="E10" s="14"/>
      <c r="F10" s="14"/>
      <c r="G10" s="13"/>
    </row>
    <row r="11" spans="1:7" x14ac:dyDescent="0.25">
      <c r="A11" s="13"/>
      <c r="B11" s="26" t="s">
        <v>2</v>
      </c>
      <c r="C11" s="27" t="s">
        <v>189</v>
      </c>
      <c r="D11" s="27" t="s">
        <v>190</v>
      </c>
      <c r="E11" s="27" t="s">
        <v>191</v>
      </c>
      <c r="F11" s="27" t="s">
        <v>192</v>
      </c>
      <c r="G11" s="13"/>
    </row>
    <row r="12" spans="1:7" x14ac:dyDescent="0.25">
      <c r="A12" s="13"/>
      <c r="B12" s="28" t="s">
        <v>193</v>
      </c>
      <c r="C12" s="29">
        <v>250</v>
      </c>
      <c r="D12" s="29">
        <v>210</v>
      </c>
      <c r="E12" s="29">
        <v>175</v>
      </c>
      <c r="F12" s="29">
        <v>80</v>
      </c>
      <c r="G12" s="13"/>
    </row>
    <row r="13" spans="1:7" x14ac:dyDescent="0.25">
      <c r="A13" s="13"/>
      <c r="B13" s="28" t="s">
        <v>194</v>
      </c>
      <c r="C13" s="29">
        <v>249.31</v>
      </c>
      <c r="D13" s="29">
        <v>167.63</v>
      </c>
      <c r="E13" s="29">
        <v>110.06</v>
      </c>
      <c r="F13" s="29">
        <v>75.33</v>
      </c>
      <c r="G13" s="13"/>
    </row>
    <row r="14" spans="1:7" x14ac:dyDescent="0.25">
      <c r="A14" s="13"/>
      <c r="B14" s="30" t="s">
        <v>195</v>
      </c>
      <c r="C14" s="31">
        <f>Typos!AU4</f>
        <v>237.34</v>
      </c>
      <c r="D14" s="31">
        <f>Typos!AU16</f>
        <v>177.44</v>
      </c>
      <c r="E14" s="15">
        <f>Typos!AU28</f>
        <v>125.17</v>
      </c>
      <c r="F14" s="15">
        <f>Typos!AU40</f>
        <v>104.87</v>
      </c>
      <c r="G14" s="13"/>
    </row>
    <row r="15" spans="1:7" x14ac:dyDescent="0.25">
      <c r="A15" s="13"/>
      <c r="B15" s="28" t="s">
        <v>196</v>
      </c>
      <c r="C15" s="32">
        <v>187.9</v>
      </c>
      <c r="D15" s="32">
        <v>134.1</v>
      </c>
      <c r="E15" s="32">
        <v>62.9</v>
      </c>
      <c r="F15" s="32">
        <v>29.2</v>
      </c>
      <c r="G15" s="13"/>
    </row>
    <row r="16" spans="1:7" x14ac:dyDescent="0.25">
      <c r="A16" s="13"/>
      <c r="B16" s="13"/>
      <c r="C16" s="14"/>
      <c r="D16" s="14"/>
      <c r="E16" s="14"/>
      <c r="F16" s="14"/>
      <c r="G16" s="13"/>
    </row>
    <row r="17" spans="1:7" x14ac:dyDescent="0.25">
      <c r="A17" s="13"/>
      <c r="B17" s="26" t="s">
        <v>114</v>
      </c>
      <c r="C17" s="27" t="s">
        <v>189</v>
      </c>
      <c r="D17" s="27" t="s">
        <v>190</v>
      </c>
      <c r="E17" s="27" t="s">
        <v>191</v>
      </c>
      <c r="F17" s="27" t="s">
        <v>192</v>
      </c>
      <c r="G17" s="13"/>
    </row>
    <row r="18" spans="1:7" x14ac:dyDescent="0.25">
      <c r="A18" s="13"/>
      <c r="B18" s="30" t="s">
        <v>195</v>
      </c>
      <c r="C18" s="31">
        <f>Typos!W4</f>
        <v>331.28</v>
      </c>
      <c r="D18" s="31">
        <f>Typos!W16</f>
        <v>256.57</v>
      </c>
      <c r="E18" s="15">
        <f>Typos!W28</f>
        <v>171.16</v>
      </c>
      <c r="F18" s="15">
        <f>Typos!W40</f>
        <v>143.87</v>
      </c>
      <c r="G18" s="13"/>
    </row>
    <row r="19" spans="1:7" x14ac:dyDescent="0.25">
      <c r="A19" s="13"/>
      <c r="B19" s="28" t="s">
        <v>193</v>
      </c>
      <c r="C19" s="29">
        <v>310</v>
      </c>
      <c r="D19" s="29">
        <v>255</v>
      </c>
      <c r="E19" s="29">
        <v>225</v>
      </c>
      <c r="F19" s="29">
        <v>100</v>
      </c>
      <c r="G19" s="13"/>
    </row>
    <row r="20" spans="1:7" x14ac:dyDescent="0.25">
      <c r="A20" s="13"/>
      <c r="B20" s="28" t="s">
        <v>196</v>
      </c>
      <c r="C20" s="32">
        <v>166.7</v>
      </c>
      <c r="D20" s="32">
        <v>138.9</v>
      </c>
      <c r="E20" s="32">
        <v>67.3</v>
      </c>
      <c r="F20" s="32">
        <v>42.1</v>
      </c>
      <c r="G20" s="13"/>
    </row>
    <row r="21" spans="1:7" x14ac:dyDescent="0.25">
      <c r="A21" s="13"/>
      <c r="B21" s="28" t="s">
        <v>194</v>
      </c>
      <c r="C21" s="29"/>
      <c r="D21" s="29">
        <v>211.04</v>
      </c>
      <c r="E21" s="29">
        <v>117.8</v>
      </c>
      <c r="F21" s="29">
        <v>85.81</v>
      </c>
      <c r="G21" s="13"/>
    </row>
    <row r="22" spans="1:7" x14ac:dyDescent="0.25">
      <c r="A22" s="13"/>
      <c r="G22" s="13"/>
    </row>
    <row r="23" spans="1:7" x14ac:dyDescent="0.25">
      <c r="A23" s="13"/>
      <c r="B23" s="26" t="s">
        <v>197</v>
      </c>
      <c r="C23" s="27" t="s">
        <v>189</v>
      </c>
      <c r="D23" s="27" t="s">
        <v>190</v>
      </c>
      <c r="E23" s="27" t="s">
        <v>191</v>
      </c>
      <c r="F23" s="27" t="s">
        <v>192</v>
      </c>
      <c r="G23" s="13"/>
    </row>
    <row r="24" spans="1:7" x14ac:dyDescent="0.25">
      <c r="A24" s="13"/>
      <c r="B24" s="33" t="s">
        <v>195</v>
      </c>
      <c r="C24" s="31" t="s">
        <v>198</v>
      </c>
      <c r="D24" s="31" t="s">
        <v>198</v>
      </c>
      <c r="E24" s="15" t="s">
        <v>198</v>
      </c>
      <c r="F24" s="15" t="s">
        <v>198</v>
      </c>
      <c r="G24" s="13"/>
    </row>
    <row r="25" spans="1:7" x14ac:dyDescent="0.25">
      <c r="A25" s="13"/>
      <c r="B25" s="28" t="s">
        <v>193</v>
      </c>
      <c r="C25" s="29">
        <v>350</v>
      </c>
      <c r="D25" s="29">
        <v>292</v>
      </c>
      <c r="E25" s="29">
        <v>260</v>
      </c>
      <c r="F25" s="29">
        <v>110</v>
      </c>
      <c r="G25" s="13"/>
    </row>
    <row r="26" spans="1:7" x14ac:dyDescent="0.25">
      <c r="A26" s="13"/>
      <c r="B26" s="28" t="s">
        <v>196</v>
      </c>
      <c r="C26" s="32">
        <v>203</v>
      </c>
      <c r="D26" s="32">
        <v>167.8</v>
      </c>
      <c r="E26" s="32">
        <v>86.6</v>
      </c>
      <c r="F26" s="32">
        <v>43.6</v>
      </c>
      <c r="G26" s="13"/>
    </row>
    <row r="27" spans="1:7" x14ac:dyDescent="0.25">
      <c r="A27" s="13"/>
      <c r="B27" s="28" t="s">
        <v>194</v>
      </c>
      <c r="C27" s="29"/>
      <c r="D27" s="29">
        <v>244.13</v>
      </c>
      <c r="E27" s="29">
        <v>128.52000000000001</v>
      </c>
      <c r="F27" s="29">
        <v>82.79</v>
      </c>
      <c r="G27" s="13"/>
    </row>
    <row r="28" spans="1:7" x14ac:dyDescent="0.25">
      <c r="A28" s="13"/>
      <c r="B28" s="13"/>
      <c r="C28" s="14"/>
      <c r="D28" s="14"/>
      <c r="E28" s="14"/>
      <c r="F28" s="14"/>
      <c r="G28" s="13"/>
    </row>
    <row r="30" spans="1:7" x14ac:dyDescent="0.25">
      <c r="C30"/>
      <c r="D30"/>
      <c r="E30"/>
      <c r="F30"/>
    </row>
    <row r="31" spans="1:7" x14ac:dyDescent="0.25">
      <c r="C31"/>
      <c r="D31"/>
      <c r="E31"/>
      <c r="F31"/>
    </row>
    <row r="32" spans="1:7" x14ac:dyDescent="0.25">
      <c r="C32"/>
      <c r="D32"/>
      <c r="E32"/>
      <c r="F32"/>
    </row>
    <row r="33" customFormat="1" x14ac:dyDescent="0.25"/>
    <row r="34" customFormat="1" x14ac:dyDescent="0.25"/>
    <row r="35" customFormat="1" x14ac:dyDescent="0.25"/>
    <row r="36" customFormat="1" x14ac:dyDescent="0.25"/>
  </sheetData>
  <sortState xmlns:xlrd2="http://schemas.microsoft.com/office/spreadsheetml/2017/richdata2" ref="B18:F21">
    <sortCondition descending="1" ref="C18:C2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9278BF48E004781D4291F2E7586F8" ma:contentTypeVersion="2" ma:contentTypeDescription="Een nieuw document maken." ma:contentTypeScope="" ma:versionID="79de139c424854c5a153df6f4f968390">
  <xsd:schema xmlns:xsd="http://www.w3.org/2001/XMLSchema" xmlns:xs="http://www.w3.org/2001/XMLSchema" xmlns:p="http://schemas.microsoft.com/office/2006/metadata/properties" xmlns:ns2="ea0d01d7-14f2-4b09-b928-0f932e9b920a" targetNamespace="http://schemas.microsoft.com/office/2006/metadata/properties" ma:root="true" ma:fieldsID="c78aaf07feca40ed326964a6b33e0eae" ns2:_="">
    <xsd:import namespace="ea0d01d7-14f2-4b09-b928-0f932e9b92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d01d7-14f2-4b09-b928-0f932e9b9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B118F-0230-4382-9F7E-246D1AC1CE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d01d7-14f2-4b09-b928-0f932e9b92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91FF91-9EB3-44A8-9FC3-3FEC8B4EB4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CDBEE9-19EB-4233-83FE-A16C2A039F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Typos</vt:lpstr>
      <vt:lpstr>Statistics</vt:lpstr>
      <vt:lpstr>Blad1</vt:lpstr>
      <vt:lpstr>Comparison with other models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 miedema</dc:creator>
  <cp:keywords/>
  <dc:description/>
  <cp:lastModifiedBy>Sarah</cp:lastModifiedBy>
  <cp:revision/>
  <dcterms:created xsi:type="dcterms:W3CDTF">2021-06-03T09:41:53Z</dcterms:created>
  <dcterms:modified xsi:type="dcterms:W3CDTF">2023-01-18T15:24:21Z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0x0101003889278BF48E004781D4291F2E7586F8</vt:lpwstr>
  </property>
</Properties>
</file>