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a\Dropbox\Financial Strategies\Spring 2024\"/>
    </mc:Choice>
  </mc:AlternateContent>
  <xr:revisionPtr revIDLastSave="0" documentId="13_ncr:1_{841D38B4-2900-433A-91BB-27C5ECEE4D23}" xr6:coauthVersionLast="47" xr6:coauthVersionMax="47" xr10:uidLastSave="{00000000-0000-0000-0000-000000000000}"/>
  <bookViews>
    <workbookView xWindow="-108" yWindow="-108" windowWidth="23256" windowHeight="13176" xr2:uid="{BF9EB1FB-CA71-4524-B1DA-56501C1112F8}"/>
  </bookViews>
  <sheets>
    <sheet name="Sheet1" sheetId="1" r:id="rId1"/>
    <sheet name="Sheet2" sheetId="2" r:id="rId2"/>
  </sheets>
  <definedNames>
    <definedName name="AEPerc">Sheet2!$C$22</definedName>
    <definedName name="APDP">Sheet2!$C$21</definedName>
    <definedName name="ARDSO">Sheet2!$C$19</definedName>
    <definedName name="COGSPerc">Sheet2!$C$10</definedName>
    <definedName name="CPLTDPerc">Sheet2!$C$23</definedName>
    <definedName name="DeprYears">Sheet2!$C$15</definedName>
    <definedName name="DIVGrowth">Sheet1!$C$3</definedName>
    <definedName name="DPRatio">Sheet1!$C$2</definedName>
    <definedName name="GAGrowth">Sheet2!$C$14</definedName>
    <definedName name="IDOH">Sheet2!$C$20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44602.9447569444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rate">Sheet2!$C$17</definedName>
    <definedName name="LTDEq">Sheet2!$C$25</definedName>
    <definedName name="PERatio">Sheet2!$C$24</definedName>
    <definedName name="SalesGr">Sheet2!$C$9</definedName>
    <definedName name="SDSalesGr">Sheet2!$C$2</definedName>
    <definedName name="SGAPerc">Sheet2!$C$11</definedName>
    <definedName name="solver_adj" localSheetId="0" hidden="1">Sheet1!$F$4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Sheet1!$F$78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-10000</definedName>
    <definedName name="solver_ver" localSheetId="0" hidden="1">3</definedName>
    <definedName name="TaxRate">Sheet2!$C$12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2" l="1"/>
  <c r="D9" i="1"/>
  <c r="D10" i="1" s="1"/>
  <c r="E9" i="1"/>
  <c r="C10" i="1"/>
  <c r="C11" i="1"/>
  <c r="C16" i="1" s="1"/>
  <c r="C19" i="1" s="1"/>
  <c r="C13" i="1"/>
  <c r="D13" i="1"/>
  <c r="D15" i="1" s="1"/>
  <c r="C14" i="1"/>
  <c r="D35" i="1"/>
  <c r="E35" i="1" s="1"/>
  <c r="D14" i="1"/>
  <c r="D63" i="1" s="1"/>
  <c r="C15" i="1"/>
  <c r="C44" i="1"/>
  <c r="C18" i="1" s="1"/>
  <c r="D44" i="1"/>
  <c r="D74" i="1" s="1"/>
  <c r="D18" i="1"/>
  <c r="D59" i="1"/>
  <c r="E59" i="1"/>
  <c r="F59" i="1"/>
  <c r="G59" i="1"/>
  <c r="H59" i="1" s="1"/>
  <c r="I59" i="1" s="1"/>
  <c r="J59" i="1" s="1"/>
  <c r="K59" i="1"/>
  <c r="L59" i="1" s="1"/>
  <c r="M59" i="1" s="1"/>
  <c r="C31" i="1"/>
  <c r="C33" i="1" s="1"/>
  <c r="C32" i="1"/>
  <c r="C42" i="1"/>
  <c r="D43" i="1"/>
  <c r="D67" i="1" s="1"/>
  <c r="C43" i="1"/>
  <c r="D70" i="1"/>
  <c r="D72" i="1" s="1"/>
  <c r="D75" i="1"/>
  <c r="D86" i="1"/>
  <c r="C36" i="1"/>
  <c r="C45" i="1"/>
  <c r="C49" i="1"/>
  <c r="C21" i="1" l="1"/>
  <c r="C23" i="1"/>
  <c r="E14" i="1"/>
  <c r="E63" i="1" s="1"/>
  <c r="E70" i="1"/>
  <c r="E72" i="1" s="1"/>
  <c r="F35" i="1"/>
  <c r="D36" i="1"/>
  <c r="C37" i="1"/>
  <c r="C39" i="1" s="1"/>
  <c r="D32" i="1"/>
  <c r="D65" i="1" s="1"/>
  <c r="D42" i="1"/>
  <c r="E31" i="1"/>
  <c r="E64" i="1" s="1"/>
  <c r="D11" i="1"/>
  <c r="D16" i="1" s="1"/>
  <c r="D19" i="1" s="1"/>
  <c r="E43" i="1"/>
  <c r="E67" i="1" s="1"/>
  <c r="D31" i="1"/>
  <c r="D64" i="1" s="1"/>
  <c r="E10" i="1"/>
  <c r="E13" i="1"/>
  <c r="E15" i="1" s="1"/>
  <c r="F9" i="1"/>
  <c r="D21" i="1" l="1"/>
  <c r="D23" i="1" s="1"/>
  <c r="E36" i="1"/>
  <c r="D37" i="1"/>
  <c r="G35" i="1"/>
  <c r="F70" i="1"/>
  <c r="F72" i="1" s="1"/>
  <c r="F14" i="1"/>
  <c r="F63" i="1" s="1"/>
  <c r="F43" i="1"/>
  <c r="F67" i="1" s="1"/>
  <c r="G9" i="1"/>
  <c r="F13" i="1"/>
  <c r="F31" i="1"/>
  <c r="F64" i="1" s="1"/>
  <c r="F10" i="1"/>
  <c r="F11" i="1"/>
  <c r="D45" i="1"/>
  <c r="D49" i="1" s="1"/>
  <c r="D66" i="1"/>
  <c r="E42" i="1"/>
  <c r="E32" i="1"/>
  <c r="E65" i="1" s="1"/>
  <c r="E11" i="1"/>
  <c r="E16" i="1" s="1"/>
  <c r="C90" i="1"/>
  <c r="C91" i="1" s="1"/>
  <c r="C54" i="1"/>
  <c r="D90" i="1" l="1"/>
  <c r="D91" i="1" s="1"/>
  <c r="D62" i="1"/>
  <c r="D68" i="1" s="1"/>
  <c r="D25" i="1"/>
  <c r="D54" i="1" s="1"/>
  <c r="G14" i="1"/>
  <c r="G63" i="1" s="1"/>
  <c r="G70" i="1"/>
  <c r="G72" i="1" s="1"/>
  <c r="H35" i="1"/>
  <c r="F32" i="1"/>
  <c r="F65" i="1" s="1"/>
  <c r="F42" i="1"/>
  <c r="C92" i="1"/>
  <c r="C55" i="1"/>
  <c r="D55" i="1" s="1"/>
  <c r="F15" i="1"/>
  <c r="F16" i="1" s="1"/>
  <c r="G31" i="1"/>
  <c r="G64" i="1" s="1"/>
  <c r="H9" i="1"/>
  <c r="G13" i="1"/>
  <c r="G15" i="1" s="1"/>
  <c r="G10" i="1"/>
  <c r="G11" i="1" s="1"/>
  <c r="G16" i="1" s="1"/>
  <c r="G43" i="1"/>
  <c r="G67" i="1" s="1"/>
  <c r="F36" i="1"/>
  <c r="E37" i="1"/>
  <c r="E66" i="1"/>
  <c r="D56" i="1" l="1"/>
  <c r="D78" i="1"/>
  <c r="D82" i="1" s="1"/>
  <c r="I35" i="1"/>
  <c r="H14" i="1"/>
  <c r="H63" i="1" s="1"/>
  <c r="H70" i="1"/>
  <c r="H72" i="1" s="1"/>
  <c r="G32" i="1"/>
  <c r="G65" i="1" s="1"/>
  <c r="G42" i="1"/>
  <c r="F66" i="1"/>
  <c r="D84" i="1"/>
  <c r="D87" i="1" s="1"/>
  <c r="D30" i="1" s="1"/>
  <c r="G36" i="1"/>
  <c r="F37" i="1"/>
  <c r="D80" i="1"/>
  <c r="D89" i="1"/>
  <c r="D94" i="1" s="1"/>
  <c r="D97" i="1" s="1"/>
  <c r="E25" i="1"/>
  <c r="H10" i="1"/>
  <c r="H11" i="1"/>
  <c r="I9" i="1"/>
  <c r="H13" i="1"/>
  <c r="H15" i="1" s="1"/>
  <c r="H43" i="1"/>
  <c r="H67" i="1" s="1"/>
  <c r="H31" i="1"/>
  <c r="H64" i="1" s="1"/>
  <c r="C56" i="1"/>
  <c r="C57" i="1" s="1"/>
  <c r="D92" i="1"/>
  <c r="D95" i="1"/>
  <c r="I10" i="1" l="1"/>
  <c r="I43" i="1"/>
  <c r="I67" i="1" s="1"/>
  <c r="I11" i="1"/>
  <c r="J9" i="1"/>
  <c r="I13" i="1"/>
  <c r="I31" i="1"/>
  <c r="I64" i="1" s="1"/>
  <c r="I14" i="1"/>
  <c r="I63" i="1" s="1"/>
  <c r="I70" i="1"/>
  <c r="I72" i="1" s="1"/>
  <c r="J35" i="1"/>
  <c r="H32" i="1"/>
  <c r="H65" i="1" s="1"/>
  <c r="H42" i="1"/>
  <c r="E86" i="1"/>
  <c r="D33" i="1"/>
  <c r="D39" i="1" s="1"/>
  <c r="H16" i="1"/>
  <c r="E89" i="1"/>
  <c r="E94" i="1" s="1"/>
  <c r="E80" i="1"/>
  <c r="F25" i="1"/>
  <c r="G66" i="1"/>
  <c r="H36" i="1"/>
  <c r="G37" i="1"/>
  <c r="D57" i="1"/>
  <c r="E47" i="1"/>
  <c r="I36" i="1" l="1"/>
  <c r="H37" i="1"/>
  <c r="I15" i="1"/>
  <c r="H66" i="1"/>
  <c r="K9" i="1"/>
  <c r="J13" i="1"/>
  <c r="J15" i="1" s="1"/>
  <c r="J43" i="1"/>
  <c r="J67" i="1" s="1"/>
  <c r="J31" i="1"/>
  <c r="J64" i="1" s="1"/>
  <c r="J10" i="1"/>
  <c r="I16" i="1"/>
  <c r="F80" i="1"/>
  <c r="G25" i="1"/>
  <c r="F89" i="1"/>
  <c r="K35" i="1"/>
  <c r="J14" i="1"/>
  <c r="J63" i="1" s="1"/>
  <c r="J70" i="1"/>
  <c r="J72" i="1" s="1"/>
  <c r="E75" i="1"/>
  <c r="E44" i="1"/>
  <c r="I42" i="1"/>
  <c r="I32" i="1"/>
  <c r="I65" i="1" s="1"/>
  <c r="H25" i="1" l="1"/>
  <c r="G89" i="1"/>
  <c r="G80" i="1"/>
  <c r="J32" i="1"/>
  <c r="J65" i="1" s="1"/>
  <c r="J42" i="1"/>
  <c r="L9" i="1"/>
  <c r="K10" i="1"/>
  <c r="K31" i="1"/>
  <c r="K64" i="1" s="1"/>
  <c r="K13" i="1"/>
  <c r="K43" i="1"/>
  <c r="K67" i="1" s="1"/>
  <c r="I66" i="1"/>
  <c r="K14" i="1"/>
  <c r="K63" i="1" s="1"/>
  <c r="K70" i="1"/>
  <c r="K72" i="1" s="1"/>
  <c r="L35" i="1"/>
  <c r="J11" i="1"/>
  <c r="J16" i="1" s="1"/>
  <c r="J36" i="1"/>
  <c r="I37" i="1"/>
  <c r="E74" i="1"/>
  <c r="E18" i="1"/>
  <c r="E19" i="1" s="1"/>
  <c r="E45" i="1"/>
  <c r="E49" i="1" s="1"/>
  <c r="K32" i="1" l="1"/>
  <c r="K65" i="1" s="1"/>
  <c r="K42" i="1"/>
  <c r="L10" i="1"/>
  <c r="L11" i="1"/>
  <c r="L43" i="1"/>
  <c r="L67" i="1" s="1"/>
  <c r="M9" i="1"/>
  <c r="L13" i="1"/>
  <c r="L15" i="1" s="1"/>
  <c r="L31" i="1"/>
  <c r="L64" i="1" s="1"/>
  <c r="J66" i="1"/>
  <c r="K36" i="1"/>
  <c r="J37" i="1"/>
  <c r="E21" i="1"/>
  <c r="E23" i="1"/>
  <c r="K11" i="1"/>
  <c r="M35" i="1"/>
  <c r="L14" i="1"/>
  <c r="L63" i="1" s="1"/>
  <c r="L70" i="1"/>
  <c r="L72" i="1" s="1"/>
  <c r="K15" i="1"/>
  <c r="H89" i="1"/>
  <c r="H80" i="1"/>
  <c r="I25" i="1"/>
  <c r="E90" i="1" l="1"/>
  <c r="E91" i="1" s="1"/>
  <c r="E62" i="1"/>
  <c r="E68" i="1" s="1"/>
  <c r="E54" i="1"/>
  <c r="L36" i="1"/>
  <c r="K37" i="1"/>
  <c r="L16" i="1"/>
  <c r="M11" i="1"/>
  <c r="M13" i="1"/>
  <c r="M43" i="1"/>
  <c r="M67" i="1" s="1"/>
  <c r="M10" i="1"/>
  <c r="M31" i="1"/>
  <c r="M64" i="1" s="1"/>
  <c r="L32" i="1"/>
  <c r="L65" i="1" s="1"/>
  <c r="L42" i="1"/>
  <c r="M14" i="1"/>
  <c r="M63" i="1" s="1"/>
  <c r="M70" i="1"/>
  <c r="M72" i="1" s="1"/>
  <c r="K66" i="1"/>
  <c r="J25" i="1"/>
  <c r="I89" i="1"/>
  <c r="I80" i="1"/>
  <c r="K16" i="1"/>
  <c r="L66" i="1" l="1"/>
  <c r="M36" i="1"/>
  <c r="M37" i="1" s="1"/>
  <c r="L37" i="1"/>
  <c r="K25" i="1"/>
  <c r="J80" i="1"/>
  <c r="J89" i="1"/>
  <c r="M42" i="1"/>
  <c r="M32" i="1"/>
  <c r="M65" i="1" s="1"/>
  <c r="E92" i="1"/>
  <c r="E95" i="1"/>
  <c r="E97" i="1" s="1"/>
  <c r="E55" i="1"/>
  <c r="F94" i="1"/>
  <c r="M15" i="1"/>
  <c r="M16" i="1" s="1"/>
  <c r="M66" i="1" l="1"/>
  <c r="L25" i="1"/>
  <c r="K89" i="1"/>
  <c r="K80" i="1"/>
  <c r="E78" i="1"/>
  <c r="E82" i="1" s="1"/>
  <c r="E84" i="1" s="1"/>
  <c r="E87" i="1" s="1"/>
  <c r="E30" i="1" s="1"/>
  <c r="E56" i="1"/>
  <c r="L80" i="1" l="1"/>
  <c r="L89" i="1"/>
  <c r="M25" i="1"/>
  <c r="F47" i="1"/>
  <c r="E57" i="1"/>
  <c r="E33" i="1"/>
  <c r="E39" i="1" s="1"/>
  <c r="F86" i="1"/>
  <c r="M89" i="1" l="1"/>
  <c r="M80" i="1"/>
  <c r="F44" i="1"/>
  <c r="F75" i="1"/>
  <c r="F74" i="1" l="1"/>
  <c r="F18" i="1"/>
  <c r="F19" i="1" s="1"/>
  <c r="F45" i="1"/>
  <c r="F49" i="1" s="1"/>
  <c r="F21" i="1" l="1"/>
  <c r="F23" i="1" s="1"/>
  <c r="F62" i="1" l="1"/>
  <c r="F68" i="1" s="1"/>
  <c r="F90" i="1"/>
  <c r="F91" i="1" s="1"/>
  <c r="F54" i="1"/>
  <c r="F92" i="1" l="1"/>
  <c r="F95" i="1"/>
  <c r="F97" i="1" s="1"/>
  <c r="G94" i="1"/>
  <c r="F55" i="1"/>
  <c r="F56" i="1"/>
  <c r="F57" i="1" l="1"/>
  <c r="G47" i="1"/>
  <c r="F78" i="1"/>
  <c r="F82" i="1" s="1"/>
  <c r="F84" i="1" s="1"/>
  <c r="F87" i="1" s="1"/>
  <c r="F30" i="1" s="1"/>
  <c r="G86" i="1" l="1"/>
  <c r="F33" i="1"/>
  <c r="F39" i="1" s="1"/>
  <c r="G44" i="1"/>
  <c r="G75" i="1"/>
  <c r="G18" i="1" l="1"/>
  <c r="G19" i="1" s="1"/>
  <c r="G74" i="1"/>
  <c r="G45" i="1"/>
  <c r="G49" i="1" s="1"/>
  <c r="G21" i="1" l="1"/>
  <c r="G23" i="1" s="1"/>
  <c r="G90" i="1" l="1"/>
  <c r="G91" i="1" s="1"/>
  <c r="G62" i="1"/>
  <c r="G68" i="1" s="1"/>
  <c r="G54" i="1"/>
  <c r="G92" i="1" l="1"/>
  <c r="G95" i="1"/>
  <c r="G97" i="1" s="1"/>
  <c r="H94" i="1"/>
  <c r="G55" i="1"/>
  <c r="G78" i="1" l="1"/>
  <c r="G82" i="1" s="1"/>
  <c r="G84" i="1" s="1"/>
  <c r="G87" i="1" s="1"/>
  <c r="G30" i="1" s="1"/>
  <c r="G56" i="1"/>
  <c r="G57" i="1" l="1"/>
  <c r="H47" i="1"/>
  <c r="G33" i="1"/>
  <c r="G39" i="1" s="1"/>
  <c r="H86" i="1"/>
  <c r="H44" i="1" l="1"/>
  <c r="H75" i="1"/>
  <c r="H74" i="1" l="1"/>
  <c r="H18" i="1"/>
  <c r="H19" i="1" s="1"/>
  <c r="H45" i="1"/>
  <c r="H49" i="1" s="1"/>
  <c r="H23" i="1" l="1"/>
  <c r="H21" i="1"/>
  <c r="H90" i="1" l="1"/>
  <c r="H91" i="1" s="1"/>
  <c r="H62" i="1"/>
  <c r="H68" i="1" s="1"/>
  <c r="H54" i="1"/>
  <c r="H92" i="1" l="1"/>
  <c r="H95" i="1"/>
  <c r="H97" i="1" s="1"/>
  <c r="I94" i="1"/>
  <c r="H55" i="1"/>
  <c r="H56" i="1"/>
  <c r="I47" i="1" l="1"/>
  <c r="H57" i="1"/>
  <c r="H78" i="1"/>
  <c r="H82" i="1" s="1"/>
  <c r="H84" i="1" s="1"/>
  <c r="H87" i="1" s="1"/>
  <c r="H30" i="1" s="1"/>
  <c r="I75" i="1" l="1"/>
  <c r="I44" i="1"/>
  <c r="I86" i="1"/>
  <c r="H33" i="1"/>
  <c r="H39" i="1" s="1"/>
  <c r="I18" i="1" l="1"/>
  <c r="I19" i="1" s="1"/>
  <c r="I74" i="1"/>
  <c r="I45" i="1"/>
  <c r="I49" i="1" s="1"/>
  <c r="I21" i="1" l="1"/>
  <c r="I23" i="1" s="1"/>
  <c r="I90" i="1" l="1"/>
  <c r="I91" i="1" s="1"/>
  <c r="I62" i="1"/>
  <c r="I68" i="1" s="1"/>
  <c r="I54" i="1"/>
  <c r="I95" i="1" l="1"/>
  <c r="I97" i="1" s="1"/>
  <c r="I92" i="1"/>
  <c r="J94" i="1"/>
  <c r="I55" i="1"/>
  <c r="I78" i="1" l="1"/>
  <c r="I82" i="1" s="1"/>
  <c r="I84" i="1" s="1"/>
  <c r="I87" i="1" s="1"/>
  <c r="I30" i="1" s="1"/>
  <c r="I56" i="1"/>
  <c r="J47" i="1" l="1"/>
  <c r="I57" i="1"/>
  <c r="I33" i="1"/>
  <c r="I39" i="1" s="1"/>
  <c r="J86" i="1"/>
  <c r="J75" i="1" l="1"/>
  <c r="J44" i="1"/>
  <c r="J74" i="1" l="1"/>
  <c r="J18" i="1"/>
  <c r="J19" i="1" s="1"/>
  <c r="J45" i="1"/>
  <c r="J49" i="1" s="1"/>
  <c r="J21" i="1" l="1"/>
  <c r="J23" i="1"/>
  <c r="J62" i="1" l="1"/>
  <c r="J68" i="1" s="1"/>
  <c r="J90" i="1"/>
  <c r="J91" i="1" s="1"/>
  <c r="J54" i="1"/>
  <c r="J92" i="1" l="1"/>
  <c r="J95" i="1"/>
  <c r="J97" i="1" s="1"/>
  <c r="K94" i="1"/>
  <c r="J55" i="1"/>
  <c r="J56" i="1" s="1"/>
  <c r="J57" i="1" l="1"/>
  <c r="K47" i="1"/>
  <c r="J78" i="1"/>
  <c r="J82" i="1" s="1"/>
  <c r="J84" i="1" s="1"/>
  <c r="J87" i="1" s="1"/>
  <c r="J30" i="1" s="1"/>
  <c r="K86" i="1" l="1"/>
  <c r="J33" i="1"/>
  <c r="J39" i="1" s="1"/>
  <c r="K44" i="1"/>
  <c r="K75" i="1"/>
  <c r="K18" i="1" l="1"/>
  <c r="K19" i="1" s="1"/>
  <c r="K74" i="1"/>
  <c r="K45" i="1"/>
  <c r="K49" i="1" s="1"/>
  <c r="K21" i="1" l="1"/>
  <c r="K23" i="1" s="1"/>
  <c r="K90" i="1" l="1"/>
  <c r="K91" i="1" s="1"/>
  <c r="K62" i="1"/>
  <c r="K68" i="1" s="1"/>
  <c r="K54" i="1"/>
  <c r="K95" i="1" l="1"/>
  <c r="K97" i="1" s="1"/>
  <c r="K92" i="1"/>
  <c r="L94" i="1"/>
  <c r="K55" i="1"/>
  <c r="K78" i="1" l="1"/>
  <c r="K82" i="1" s="1"/>
  <c r="K84" i="1" s="1"/>
  <c r="K87" i="1" s="1"/>
  <c r="K30" i="1" s="1"/>
  <c r="K56" i="1"/>
  <c r="K57" i="1" l="1"/>
  <c r="L47" i="1"/>
  <c r="K33" i="1"/>
  <c r="K39" i="1" s="1"/>
  <c r="L86" i="1"/>
  <c r="L44" i="1" l="1"/>
  <c r="L75" i="1"/>
  <c r="L74" i="1" l="1"/>
  <c r="L18" i="1"/>
  <c r="L19" i="1" s="1"/>
  <c r="L45" i="1"/>
  <c r="L49" i="1" s="1"/>
  <c r="L21" i="1" l="1"/>
  <c r="L23" i="1" s="1"/>
  <c r="L90" i="1" l="1"/>
  <c r="L91" i="1" s="1"/>
  <c r="L62" i="1"/>
  <c r="L68" i="1" s="1"/>
  <c r="L54" i="1"/>
  <c r="L95" i="1" l="1"/>
  <c r="L97" i="1" s="1"/>
  <c r="L92" i="1"/>
  <c r="M94" i="1"/>
  <c r="L55" i="1"/>
  <c r="L56" i="1" s="1"/>
  <c r="M47" i="1" l="1"/>
  <c r="L57" i="1"/>
  <c r="L78" i="1"/>
  <c r="L82" i="1" s="1"/>
  <c r="L84" i="1" s="1"/>
  <c r="L87" i="1" s="1"/>
  <c r="L30" i="1" s="1"/>
  <c r="L33" i="1" l="1"/>
  <c r="L39" i="1" s="1"/>
  <c r="M86" i="1"/>
  <c r="M75" i="1"/>
  <c r="M44" i="1"/>
  <c r="M74" i="1" l="1"/>
  <c r="M18" i="1"/>
  <c r="M19" i="1" s="1"/>
  <c r="M45" i="1"/>
  <c r="M49" i="1" s="1"/>
  <c r="M21" i="1" l="1"/>
  <c r="M23" i="1" s="1"/>
  <c r="M62" i="1" l="1"/>
  <c r="M68" i="1" s="1"/>
  <c r="M90" i="1"/>
  <c r="M91" i="1" s="1"/>
  <c r="M54" i="1"/>
  <c r="M92" i="1" l="1"/>
  <c r="M95" i="1"/>
  <c r="M97" i="1" s="1"/>
  <c r="C99" i="1" s="1"/>
  <c r="M55" i="1"/>
  <c r="M78" i="1" s="1"/>
  <c r="M82" i="1" s="1"/>
  <c r="M84" i="1" s="1"/>
  <c r="M87" i="1" s="1"/>
  <c r="M30" i="1" s="1"/>
  <c r="M33" i="1" s="1"/>
  <c r="M39" i="1" s="1"/>
  <c r="M56" i="1"/>
  <c r="M57" i="1" s="1"/>
</calcChain>
</file>

<file path=xl/sharedStrings.xml><?xml version="1.0" encoding="utf-8"?>
<sst xmlns="http://schemas.openxmlformats.org/spreadsheetml/2006/main" count="97" uniqueCount="86">
  <si>
    <t>Sales</t>
  </si>
  <si>
    <t>Cost of Goods Sold</t>
  </si>
  <si>
    <t>Gross Profit</t>
  </si>
  <si>
    <t>Selling, General, and Administrative Expense</t>
  </si>
  <si>
    <t>Depreciation Expense</t>
  </si>
  <si>
    <t>Total Other Operating Expenses</t>
  </si>
  <si>
    <t>Interest Expense</t>
  </si>
  <si>
    <t>Operating Income (EBIT)</t>
  </si>
  <si>
    <t>Earnings Before Tax</t>
  </si>
  <si>
    <t>Income Tax</t>
  </si>
  <si>
    <t>Net Income</t>
  </si>
  <si>
    <t>Assumptions</t>
  </si>
  <si>
    <t>Income Statement</t>
  </si>
  <si>
    <t>Dividends Paid</t>
  </si>
  <si>
    <t>ASSETS</t>
  </si>
  <si>
    <t>Cash</t>
  </si>
  <si>
    <t>Accounts Receivable</t>
  </si>
  <si>
    <t>Inventory</t>
  </si>
  <si>
    <t>Total Current Assets</t>
  </si>
  <si>
    <t>Gross Property, Plant, and Equipment</t>
  </si>
  <si>
    <t>Accumulated Depreciation</t>
  </si>
  <si>
    <t>Net Property, Plant, and Equipment</t>
  </si>
  <si>
    <t>Total Assets</t>
  </si>
  <si>
    <t>LIABILITIES</t>
  </si>
  <si>
    <t>Accounts Payable</t>
  </si>
  <si>
    <t>Accrued Expenses</t>
  </si>
  <si>
    <t>Current Portion of Long-Term Debt</t>
  </si>
  <si>
    <t>Total Current Liabilities</t>
  </si>
  <si>
    <t>Long-Term Debt</t>
  </si>
  <si>
    <t>Total Liabilities</t>
  </si>
  <si>
    <t>EQUITY</t>
  </si>
  <si>
    <t xml:space="preserve">Common Stock </t>
  </si>
  <si>
    <t>Additional Paid In Capital</t>
  </si>
  <si>
    <t>Retained Earnings</t>
  </si>
  <si>
    <t>Treasury Stock</t>
  </si>
  <si>
    <t>Total Equity</t>
  </si>
  <si>
    <t>Statement of Cash Flows</t>
  </si>
  <si>
    <t xml:space="preserve">Net Income </t>
  </si>
  <si>
    <t>Change in Accounts Receivable</t>
  </si>
  <si>
    <t>Change in Inventory</t>
  </si>
  <si>
    <t>Change in Accounts Payable</t>
  </si>
  <si>
    <t>Change in Accrued Expenses</t>
  </si>
  <si>
    <t>Cash from Operating Activities</t>
  </si>
  <si>
    <t>Capital Expenditures</t>
  </si>
  <si>
    <t>Divestitures</t>
  </si>
  <si>
    <t>Cash from Investing Activities</t>
  </si>
  <si>
    <t>Curr. Portion of LTD (Repaid)</t>
  </si>
  <si>
    <t>Long-Term Debt Issued (Repaid)</t>
  </si>
  <si>
    <t>Issuance of Common Stock</t>
  </si>
  <si>
    <t>Repurchase of Common Stock</t>
  </si>
  <si>
    <t>Cash From Financing Activities</t>
  </si>
  <si>
    <t>Net Change in Cash</t>
  </si>
  <si>
    <t>Beginning Cash</t>
  </si>
  <si>
    <t>Ending Cash</t>
  </si>
  <si>
    <t>Sales Growth</t>
  </si>
  <si>
    <t>COGS % of Sales</t>
  </si>
  <si>
    <t>Std. Dev. Of Sales Growth</t>
  </si>
  <si>
    <t>SG&amp;A % of Sales</t>
  </si>
  <si>
    <t>Gross Asset Growth</t>
  </si>
  <si>
    <t>Avg. Depr. Years</t>
  </si>
  <si>
    <t>Tax Rate</t>
  </si>
  <si>
    <t>Interest Rate</t>
  </si>
  <si>
    <t>A/R DSO</t>
  </si>
  <si>
    <t>Inventory Days on Hand</t>
  </si>
  <si>
    <t>A/P Deferral Period</t>
  </si>
  <si>
    <t>Accrued Expenses % of Sales</t>
  </si>
  <si>
    <t>P/E Ratio</t>
  </si>
  <si>
    <t>Dividend Payout Ratio</t>
  </si>
  <si>
    <t>Shares Outstanding</t>
  </si>
  <si>
    <t>CPLTDPerc</t>
  </si>
  <si>
    <t>TOTAL LIABILITIES AND EQUITY</t>
  </si>
  <si>
    <t>Year</t>
  </si>
  <si>
    <t>LTDEq</t>
  </si>
  <si>
    <t>EPS</t>
  </si>
  <si>
    <t>Share Price</t>
  </si>
  <si>
    <t>Shares Repurchased</t>
  </si>
  <si>
    <t>Dividend Yield</t>
  </si>
  <si>
    <t>Capital Gains Yield</t>
  </si>
  <si>
    <t>Total Return</t>
  </si>
  <si>
    <t>DPS</t>
  </si>
  <si>
    <t>Dividend Growth Rate</t>
  </si>
  <si>
    <t>Average Annual Return</t>
  </si>
  <si>
    <t>Actual</t>
  </si>
  <si>
    <t>Projected</t>
  </si>
  <si>
    <t>BALANCE SHEET</t>
  </si>
  <si>
    <t>Market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</si>
</sst>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9" fontId="0" fillId="0" borderId="0" xfId="0" applyNumberFormat="1"/>
    <xf numFmtId="44" fontId="0" fillId="0" borderId="0" xfId="2" applyFont="1"/>
    <xf numFmtId="44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43" fontId="0" fillId="0" borderId="0" xfId="0" applyNumberFormat="1"/>
    <xf numFmtId="9" fontId="0" fillId="0" borderId="0" xfId="3" applyFont="1"/>
    <xf numFmtId="10" fontId="0" fillId="0" borderId="0" xfId="3" applyNumberFormat="1" applyFont="1"/>
    <xf numFmtId="44" fontId="1" fillId="0" borderId="0" xfId="2" applyFont="1"/>
    <xf numFmtId="10" fontId="0" fillId="0" borderId="0" xfId="0" applyNumberFormat="1"/>
    <xf numFmtId="0" fontId="0" fillId="3" borderId="0" xfId="0" applyFill="1"/>
    <xf numFmtId="44" fontId="0" fillId="3" borderId="0" xfId="2" applyFont="1" applyFill="1"/>
    <xf numFmtId="44" fontId="0" fillId="3" borderId="0" xfId="0" applyNumberFormat="1" applyFill="1"/>
    <xf numFmtId="43" fontId="0" fillId="3" borderId="0" xfId="1" applyFont="1" applyFill="1"/>
    <xf numFmtId="0" fontId="2" fillId="0" borderId="1" xfId="0" applyFont="1" applyBorder="1"/>
    <xf numFmtId="44" fontId="2" fillId="3" borderId="0" xfId="2" applyFont="1" applyFill="1"/>
    <xf numFmtId="44" fontId="2" fillId="0" borderId="0" xfId="2" applyFont="1"/>
    <xf numFmtId="44" fontId="2" fillId="3" borderId="1" xfId="2" applyFont="1" applyFill="1" applyBorder="1"/>
    <xf numFmtId="44" fontId="2" fillId="0" borderId="1" xfId="2" applyFont="1" applyBorder="1"/>
    <xf numFmtId="44" fontId="2" fillId="0" borderId="0" xfId="0" applyNumberFormat="1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0" fontId="0" fillId="0" borderId="0" xfId="3" applyNumberFormat="1" applyFont="1" applyAlignment="1">
      <alignment horizontal="right"/>
    </xf>
    <xf numFmtId="9" fontId="2" fillId="0" borderId="0" xfId="3" applyFont="1"/>
    <xf numFmtId="0" fontId="2" fillId="0" borderId="2" xfId="0" applyFont="1" applyBorder="1"/>
    <xf numFmtId="44" fontId="2" fillId="3" borderId="1" xfId="0" applyNumberFormat="1" applyFont="1" applyFill="1" applyBorder="1"/>
    <xf numFmtId="44" fontId="2" fillId="0" borderId="1" xfId="0" applyNumberFormat="1" applyFont="1" applyBorder="1"/>
    <xf numFmtId="44" fontId="2" fillId="3" borderId="2" xfId="2" applyFont="1" applyFill="1" applyBorder="1"/>
    <xf numFmtId="44" fontId="2" fillId="0" borderId="2" xfId="2" applyFont="1" applyBorder="1"/>
    <xf numFmtId="10" fontId="0" fillId="2" borderId="0" xfId="3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5A6D-DE7B-4951-9CBB-90B7807777AA}">
  <dimension ref="B2:S100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33" sqref="G33"/>
    </sheetView>
  </sheetViews>
  <sheetFormatPr defaultRowHeight="14.4" x14ac:dyDescent="0.3"/>
  <cols>
    <col min="2" max="2" width="36.88671875" bestFit="1" customWidth="1"/>
    <col min="3" max="3" width="14.44140625" bestFit="1" customWidth="1"/>
    <col min="4" max="5" width="12.109375" bestFit="1" customWidth="1"/>
    <col min="6" max="6" width="12.44140625" bestFit="1" customWidth="1"/>
    <col min="7" max="7" width="13.5546875" customWidth="1"/>
    <col min="8" max="8" width="12.21875" bestFit="1" customWidth="1"/>
    <col min="9" max="9" width="14.21875" customWidth="1"/>
    <col min="10" max="13" width="12.21875" bestFit="1" customWidth="1"/>
  </cols>
  <sheetData>
    <row r="2" spans="2:19" x14ac:dyDescent="0.3">
      <c r="B2" s="6" t="s">
        <v>67</v>
      </c>
      <c r="C2" s="7"/>
    </row>
    <row r="3" spans="2:19" x14ac:dyDescent="0.3">
      <c r="B3" s="6" t="s">
        <v>80</v>
      </c>
      <c r="C3" s="32"/>
      <c r="Q3" s="12"/>
    </row>
    <row r="4" spans="2:19" x14ac:dyDescent="0.3">
      <c r="B4" s="6" t="s">
        <v>75</v>
      </c>
      <c r="D4" s="7"/>
      <c r="E4" s="7"/>
      <c r="F4" s="7"/>
      <c r="G4" s="7"/>
      <c r="H4" s="7"/>
      <c r="I4" s="7"/>
      <c r="J4" s="7"/>
      <c r="K4" s="7"/>
      <c r="L4" s="7"/>
      <c r="M4" s="7"/>
      <c r="P4" s="25"/>
      <c r="Q4" s="10"/>
    </row>
    <row r="5" spans="2:19" x14ac:dyDescent="0.3">
      <c r="B5" s="6"/>
      <c r="P5" s="25"/>
      <c r="Q5" s="10"/>
    </row>
    <row r="6" spans="2:19" x14ac:dyDescent="0.3">
      <c r="C6" s="23" t="s">
        <v>82</v>
      </c>
      <c r="D6" s="23" t="s">
        <v>83</v>
      </c>
      <c r="E6" s="23" t="s">
        <v>83</v>
      </c>
      <c r="F6" s="23" t="s">
        <v>83</v>
      </c>
      <c r="G6" s="23" t="s">
        <v>83</v>
      </c>
      <c r="H6" s="23" t="s">
        <v>83</v>
      </c>
      <c r="I6" s="23" t="s">
        <v>83</v>
      </c>
      <c r="J6" s="23" t="s">
        <v>83</v>
      </c>
      <c r="K6" s="23" t="s">
        <v>83</v>
      </c>
      <c r="L6" s="23" t="s">
        <v>83</v>
      </c>
      <c r="M6" s="23" t="s">
        <v>83</v>
      </c>
      <c r="P6" s="25"/>
      <c r="Q6" s="10"/>
    </row>
    <row r="7" spans="2:19" x14ac:dyDescent="0.3">
      <c r="B7" s="1" t="s">
        <v>71</v>
      </c>
      <c r="C7" s="24">
        <v>2024</v>
      </c>
      <c r="D7" s="23">
        <v>2025</v>
      </c>
      <c r="E7" s="23">
        <v>2026</v>
      </c>
      <c r="F7" s="23">
        <v>2027</v>
      </c>
      <c r="G7" s="23">
        <v>2028</v>
      </c>
      <c r="H7" s="23">
        <v>2029</v>
      </c>
      <c r="I7" s="23">
        <v>2030</v>
      </c>
      <c r="J7" s="23">
        <v>2031</v>
      </c>
      <c r="K7" s="23">
        <v>2032</v>
      </c>
      <c r="L7" s="23">
        <v>2033</v>
      </c>
      <c r="M7" s="23">
        <v>2034</v>
      </c>
      <c r="P7" s="25"/>
      <c r="Q7" s="10"/>
    </row>
    <row r="8" spans="2:19" x14ac:dyDescent="0.3">
      <c r="B8" s="1" t="s">
        <v>12</v>
      </c>
      <c r="C8" s="13"/>
      <c r="P8" s="25"/>
      <c r="Q8" s="10"/>
    </row>
    <row r="9" spans="2:19" x14ac:dyDescent="0.3">
      <c r="B9" t="s">
        <v>0</v>
      </c>
      <c r="C9" s="14">
        <v>56185.2</v>
      </c>
      <c r="D9" s="11">
        <f>C9*Sheet2!E9</f>
        <v>59138.846366310761</v>
      </c>
      <c r="E9" s="3">
        <f>D9*Sheet2!F9</f>
        <v>58183.297089907486</v>
      </c>
      <c r="F9" s="3">
        <f>E9*Sheet2!G9</f>
        <v>64186.961968004442</v>
      </c>
      <c r="G9" s="3">
        <f>F9*Sheet2!H9</f>
        <v>66349.679813693234</v>
      </c>
      <c r="H9" s="3">
        <f>G9*Sheet2!I9</f>
        <v>64671.791921521995</v>
      </c>
      <c r="I9" s="3">
        <f>H9*Sheet2!J9</f>
        <v>71091.575634131383</v>
      </c>
      <c r="J9" s="3">
        <f>I9*Sheet2!K9</f>
        <v>75536.323919086382</v>
      </c>
      <c r="K9" s="3">
        <f>J9*Sheet2!L9</f>
        <v>72041.724627727701</v>
      </c>
      <c r="L9" s="3">
        <f>K9*Sheet2!M9</f>
        <v>78622.783925408949</v>
      </c>
      <c r="M9" s="3">
        <f>L9*Sheet2!N9</f>
        <v>79940.312940964039</v>
      </c>
      <c r="P9" s="25"/>
      <c r="Q9" s="10"/>
    </row>
    <row r="10" spans="2:19" x14ac:dyDescent="0.3">
      <c r="B10" t="s">
        <v>1</v>
      </c>
      <c r="C10" s="14">
        <f t="shared" ref="C10:M10" si="0">C9*COGSPerc</f>
        <v>30901.86</v>
      </c>
      <c r="D10" s="3">
        <f t="shared" si="0"/>
        <v>32526.365501470922</v>
      </c>
      <c r="E10" s="3">
        <f t="shared" si="0"/>
        <v>32000.813399449122</v>
      </c>
      <c r="F10" s="3">
        <f t="shared" si="0"/>
        <v>35302.829082402444</v>
      </c>
      <c r="G10" s="3">
        <f t="shared" si="0"/>
        <v>36492.323897531285</v>
      </c>
      <c r="H10" s="3">
        <f t="shared" si="0"/>
        <v>35569.485556837099</v>
      </c>
      <c r="I10" s="3">
        <f t="shared" si="0"/>
        <v>39100.366598772263</v>
      </c>
      <c r="J10" s="3">
        <f t="shared" si="0"/>
        <v>41544.978155497512</v>
      </c>
      <c r="K10" s="3">
        <f t="shared" si="0"/>
        <v>39622.948545250241</v>
      </c>
      <c r="L10" s="3">
        <f t="shared" si="0"/>
        <v>43242.531158974925</v>
      </c>
      <c r="M10" s="3">
        <f t="shared" si="0"/>
        <v>43967.172117530223</v>
      </c>
      <c r="P10" s="25"/>
      <c r="Q10" s="10"/>
    </row>
    <row r="11" spans="2:19" x14ac:dyDescent="0.3">
      <c r="B11" s="1" t="s">
        <v>2</v>
      </c>
      <c r="C11" s="18">
        <f>C9-C10</f>
        <v>25283.339999999997</v>
      </c>
      <c r="D11" s="19">
        <f t="shared" ref="D11:M11" si="1">D9-D10</f>
        <v>26612.480864839839</v>
      </c>
      <c r="E11" s="19">
        <f t="shared" si="1"/>
        <v>26182.483690458364</v>
      </c>
      <c r="F11" s="19">
        <f t="shared" si="1"/>
        <v>28884.132885601997</v>
      </c>
      <c r="G11" s="19">
        <f t="shared" si="1"/>
        <v>29857.355916161949</v>
      </c>
      <c r="H11" s="19">
        <f t="shared" si="1"/>
        <v>29102.306364684897</v>
      </c>
      <c r="I11" s="19">
        <f t="shared" si="1"/>
        <v>31991.209035359119</v>
      </c>
      <c r="J11" s="19">
        <f t="shared" si="1"/>
        <v>33991.34576358887</v>
      </c>
      <c r="K11" s="19">
        <f t="shared" si="1"/>
        <v>32418.77608247746</v>
      </c>
      <c r="L11" s="19">
        <f t="shared" si="1"/>
        <v>35380.252766434023</v>
      </c>
      <c r="M11" s="19">
        <f t="shared" si="1"/>
        <v>35973.140823433816</v>
      </c>
      <c r="P11" s="25"/>
      <c r="Q11" s="10"/>
    </row>
    <row r="12" spans="2:19" x14ac:dyDescent="0.3"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P12" s="25"/>
      <c r="Q12" s="10"/>
    </row>
    <row r="13" spans="2:19" x14ac:dyDescent="0.3">
      <c r="B13" t="s">
        <v>3</v>
      </c>
      <c r="C13" s="14">
        <f t="shared" ref="C13:M13" si="2">SGAPerc*C9</f>
        <v>11237.04</v>
      </c>
      <c r="D13" s="3">
        <f t="shared" si="2"/>
        <v>11827.769273262153</v>
      </c>
      <c r="E13" s="3">
        <f t="shared" si="2"/>
        <v>11636.659417981498</v>
      </c>
      <c r="F13" s="3">
        <f t="shared" si="2"/>
        <v>12837.392393600889</v>
      </c>
      <c r="G13" s="3">
        <f t="shared" si="2"/>
        <v>13269.935962738648</v>
      </c>
      <c r="H13" s="3">
        <f t="shared" si="2"/>
        <v>12934.3583843044</v>
      </c>
      <c r="I13" s="3">
        <f t="shared" si="2"/>
        <v>14218.315126826277</v>
      </c>
      <c r="J13" s="3">
        <f t="shared" si="2"/>
        <v>15107.264783817278</v>
      </c>
      <c r="K13" s="3">
        <f t="shared" si="2"/>
        <v>14408.344925545542</v>
      </c>
      <c r="L13" s="3">
        <f t="shared" si="2"/>
        <v>15724.55678508179</v>
      </c>
      <c r="M13" s="3">
        <f t="shared" si="2"/>
        <v>15988.062588192808</v>
      </c>
      <c r="P13" s="25"/>
      <c r="Q13" s="10"/>
    </row>
    <row r="14" spans="2:19" x14ac:dyDescent="0.3">
      <c r="B14" t="s">
        <v>4</v>
      </c>
      <c r="C14" s="14">
        <f t="shared" ref="C14:M14" si="3">C35*1/DeprYears</f>
        <v>3333.3333333333335</v>
      </c>
      <c r="D14" s="3">
        <f t="shared" si="3"/>
        <v>3416.6666666666665</v>
      </c>
      <c r="E14" s="3">
        <f t="shared" si="3"/>
        <v>3502.0833333333326</v>
      </c>
      <c r="F14" s="3">
        <f t="shared" si="3"/>
        <v>3589.6354166666656</v>
      </c>
      <c r="G14" s="3">
        <f t="shared" si="3"/>
        <v>3679.3763020833317</v>
      </c>
      <c r="H14" s="3">
        <f t="shared" si="3"/>
        <v>3771.3607096354149</v>
      </c>
      <c r="I14" s="3">
        <f t="shared" si="3"/>
        <v>3865.6447273763001</v>
      </c>
      <c r="J14" s="3">
        <f t="shared" si="3"/>
        <v>3962.285845560707</v>
      </c>
      <c r="K14" s="3">
        <f t="shared" si="3"/>
        <v>4061.3429916997243</v>
      </c>
      <c r="L14" s="3">
        <f t="shared" si="3"/>
        <v>4162.8765664922166</v>
      </c>
      <c r="M14" s="3">
        <f t="shared" si="3"/>
        <v>4266.9484806545215</v>
      </c>
      <c r="P14" s="25"/>
      <c r="Q14" s="10"/>
      <c r="S14" s="9"/>
    </row>
    <row r="15" spans="2:19" x14ac:dyDescent="0.3">
      <c r="B15" t="s">
        <v>5</v>
      </c>
      <c r="C15" s="14">
        <f>C13+C14</f>
        <v>14570.373333333335</v>
      </c>
      <c r="D15" s="3">
        <f t="shared" ref="D15:M15" si="4">D13+D14</f>
        <v>15244.435939928819</v>
      </c>
      <c r="E15" s="3">
        <f t="shared" si="4"/>
        <v>15138.74275131483</v>
      </c>
      <c r="F15" s="3">
        <f t="shared" si="4"/>
        <v>16427.027810267555</v>
      </c>
      <c r="G15" s="3">
        <f t="shared" si="4"/>
        <v>16949.31226482198</v>
      </c>
      <c r="H15" s="3">
        <f t="shared" si="4"/>
        <v>16705.719093939813</v>
      </c>
      <c r="I15" s="3">
        <f t="shared" si="4"/>
        <v>18083.959854202578</v>
      </c>
      <c r="J15" s="3">
        <f t="shared" si="4"/>
        <v>19069.550629377984</v>
      </c>
      <c r="K15" s="3">
        <f t="shared" si="4"/>
        <v>18469.687917245265</v>
      </c>
      <c r="L15" s="3">
        <f t="shared" si="4"/>
        <v>19887.433351574007</v>
      </c>
      <c r="M15" s="3">
        <f t="shared" si="4"/>
        <v>20255.011068847329</v>
      </c>
      <c r="P15" s="25"/>
      <c r="Q15" s="10"/>
    </row>
    <row r="16" spans="2:19" x14ac:dyDescent="0.3">
      <c r="B16" s="1" t="s">
        <v>7</v>
      </c>
      <c r="C16" s="18">
        <f>C11-C15</f>
        <v>10712.966666666662</v>
      </c>
      <c r="D16" s="19">
        <f t="shared" ref="D16:M16" si="5">D11-D15</f>
        <v>11368.044924911021</v>
      </c>
      <c r="E16" s="19">
        <f t="shared" si="5"/>
        <v>11043.740939143534</v>
      </c>
      <c r="F16" s="19">
        <f t="shared" si="5"/>
        <v>12457.105075334443</v>
      </c>
      <c r="G16" s="19">
        <f t="shared" si="5"/>
        <v>12908.043651339969</v>
      </c>
      <c r="H16" s="19">
        <f t="shared" si="5"/>
        <v>12396.587270745084</v>
      </c>
      <c r="I16" s="19">
        <f t="shared" si="5"/>
        <v>13907.249181156541</v>
      </c>
      <c r="J16" s="19">
        <f t="shared" si="5"/>
        <v>14921.795134210886</v>
      </c>
      <c r="K16" s="19">
        <f t="shared" si="5"/>
        <v>13949.088165232195</v>
      </c>
      <c r="L16" s="19">
        <f t="shared" si="5"/>
        <v>15492.819414860016</v>
      </c>
      <c r="M16" s="19">
        <f t="shared" si="5"/>
        <v>15718.129754586487</v>
      </c>
      <c r="P16" s="25"/>
      <c r="Q16" s="10"/>
    </row>
    <row r="17" spans="2:17" x14ac:dyDescent="0.3">
      <c r="C17" s="14"/>
      <c r="D17" s="3"/>
      <c r="E17" s="3"/>
      <c r="F17" s="3"/>
      <c r="G17" s="3"/>
      <c r="H17" s="3"/>
      <c r="I17" s="3"/>
      <c r="J17" s="3"/>
      <c r="K17" s="3"/>
      <c r="L17" s="3"/>
      <c r="M17" s="3"/>
      <c r="P17" s="25"/>
      <c r="Q17" s="10"/>
    </row>
    <row r="18" spans="2:17" x14ac:dyDescent="0.3">
      <c r="B18" t="s">
        <v>6</v>
      </c>
      <c r="C18" s="14">
        <f t="shared" ref="C18:M18" si="6">irate*(C44+C47)</f>
        <v>1714.2857142857142</v>
      </c>
      <c r="D18" s="3">
        <f t="shared" si="6"/>
        <v>1714.2857142857142</v>
      </c>
      <c r="E18" s="3">
        <f t="shared" si="6"/>
        <v>2171.4285714285716</v>
      </c>
      <c r="F18" s="3">
        <f t="shared" si="6"/>
        <v>2800</v>
      </c>
      <c r="G18" s="3">
        <f t="shared" si="6"/>
        <v>3485.7142857142858</v>
      </c>
      <c r="H18" s="3">
        <f t="shared" si="6"/>
        <v>4171.4285714285716</v>
      </c>
      <c r="I18" s="3">
        <f t="shared" si="6"/>
        <v>4742.8571428571431</v>
      </c>
      <c r="J18" s="3">
        <f t="shared" si="6"/>
        <v>5428.5714285714284</v>
      </c>
      <c r="K18" s="3">
        <f t="shared" si="6"/>
        <v>6057.1428571428578</v>
      </c>
      <c r="L18" s="3">
        <f t="shared" si="6"/>
        <v>6628.5714285714294</v>
      </c>
      <c r="M18" s="3">
        <f t="shared" si="6"/>
        <v>7257.1428571428569</v>
      </c>
      <c r="P18" s="25"/>
      <c r="Q18" s="10"/>
    </row>
    <row r="19" spans="2:17" x14ac:dyDescent="0.3">
      <c r="B19" s="1" t="s">
        <v>8</v>
      </c>
      <c r="C19" s="18">
        <f>C16-C18</f>
        <v>8998.6809523809479</v>
      </c>
      <c r="D19" s="19">
        <f t="shared" ref="D19:M19" si="7">D16-D18</f>
        <v>9653.7592106253069</v>
      </c>
      <c r="E19" s="19">
        <f t="shared" si="7"/>
        <v>8872.3123677149633</v>
      </c>
      <c r="F19" s="19">
        <f t="shared" si="7"/>
        <v>9657.1050753344425</v>
      </c>
      <c r="G19" s="19">
        <f t="shared" si="7"/>
        <v>9422.3293656256828</v>
      </c>
      <c r="H19" s="19">
        <f t="shared" si="7"/>
        <v>8225.158699316511</v>
      </c>
      <c r="I19" s="19">
        <f t="shared" si="7"/>
        <v>9164.3920382993983</v>
      </c>
      <c r="J19" s="19">
        <f t="shared" si="7"/>
        <v>9493.2237056394588</v>
      </c>
      <c r="K19" s="19">
        <f t="shared" si="7"/>
        <v>7891.9453080893372</v>
      </c>
      <c r="L19" s="19">
        <f t="shared" si="7"/>
        <v>8864.2479862885866</v>
      </c>
      <c r="M19" s="19">
        <f t="shared" si="7"/>
        <v>8460.9868974436304</v>
      </c>
      <c r="P19" s="25"/>
      <c r="Q19" s="10"/>
    </row>
    <row r="20" spans="2:17" x14ac:dyDescent="0.3">
      <c r="C20" s="14"/>
      <c r="D20" s="3"/>
      <c r="E20" s="3"/>
      <c r="F20" s="3"/>
      <c r="G20" s="3"/>
      <c r="H20" s="3"/>
      <c r="I20" s="3"/>
      <c r="J20" s="3"/>
      <c r="K20" s="3"/>
      <c r="L20" s="3"/>
      <c r="M20" s="3"/>
      <c r="P20" s="25"/>
      <c r="Q20" s="10"/>
    </row>
    <row r="21" spans="2:17" x14ac:dyDescent="0.3">
      <c r="B21" t="s">
        <v>9</v>
      </c>
      <c r="C21" s="14">
        <f t="shared" ref="C21:M21" si="8">TaxRate*(C19)</f>
        <v>1529.7757619047613</v>
      </c>
      <c r="D21" s="3">
        <f t="shared" si="8"/>
        <v>1641.1390658063024</v>
      </c>
      <c r="E21" s="3">
        <f t="shared" si="8"/>
        <v>1508.2931025115438</v>
      </c>
      <c r="F21" s="3">
        <f t="shared" si="8"/>
        <v>1641.7078628068552</v>
      </c>
      <c r="G21" s="3">
        <f t="shared" si="8"/>
        <v>1601.7959921563663</v>
      </c>
      <c r="H21" s="3">
        <f t="shared" si="8"/>
        <v>1398.276978883807</v>
      </c>
      <c r="I21" s="3">
        <f t="shared" si="8"/>
        <v>1557.9466465108978</v>
      </c>
      <c r="J21" s="3">
        <f t="shared" si="8"/>
        <v>1613.8480299587081</v>
      </c>
      <c r="K21" s="3">
        <f t="shared" si="8"/>
        <v>1341.6307023751874</v>
      </c>
      <c r="L21" s="3">
        <f t="shared" si="8"/>
        <v>1506.9221576690597</v>
      </c>
      <c r="M21" s="3">
        <f t="shared" si="8"/>
        <v>1438.3677725654172</v>
      </c>
      <c r="P21" s="25"/>
      <c r="Q21" s="10"/>
    </row>
    <row r="22" spans="2:17" x14ac:dyDescent="0.3"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P22" s="25"/>
      <c r="Q22" s="10"/>
    </row>
    <row r="23" spans="2:17" x14ac:dyDescent="0.3">
      <c r="B23" s="17" t="s">
        <v>10</v>
      </c>
      <c r="C23" s="20">
        <f>C19-C21</f>
        <v>7468.9051904761864</v>
      </c>
      <c r="D23" s="21">
        <f t="shared" ref="D23:L23" si="9">D19-D21</f>
        <v>8012.6201448190041</v>
      </c>
      <c r="E23" s="21">
        <f t="shared" si="9"/>
        <v>7364.0192652034193</v>
      </c>
      <c r="F23" s="21">
        <f t="shared" si="9"/>
        <v>8015.3972125275868</v>
      </c>
      <c r="G23" s="21">
        <f t="shared" si="9"/>
        <v>7820.5333734693168</v>
      </c>
      <c r="H23" s="21">
        <f t="shared" si="9"/>
        <v>6826.8817204327042</v>
      </c>
      <c r="I23" s="21">
        <f t="shared" si="9"/>
        <v>7606.4453917885003</v>
      </c>
      <c r="J23" s="21">
        <f t="shared" si="9"/>
        <v>7879.3756756807506</v>
      </c>
      <c r="K23" s="21">
        <f t="shared" si="9"/>
        <v>6550.3146057141494</v>
      </c>
      <c r="L23" s="21">
        <f t="shared" si="9"/>
        <v>7357.3258286195269</v>
      </c>
      <c r="M23" s="21">
        <f t="shared" ref="M23" si="10">M19-M21</f>
        <v>7022.6191248782134</v>
      </c>
      <c r="P23" s="25"/>
      <c r="Q23" s="10"/>
    </row>
    <row r="24" spans="2:17" x14ac:dyDescent="0.3">
      <c r="C24" s="13"/>
      <c r="P24" s="25"/>
      <c r="Q24" s="10"/>
    </row>
    <row r="25" spans="2:17" x14ac:dyDescent="0.3">
      <c r="B25" s="1" t="s">
        <v>13</v>
      </c>
      <c r="C25" s="13"/>
      <c r="D25" s="22">
        <f>DPRatio*D23</f>
        <v>0</v>
      </c>
      <c r="E25" s="22">
        <f t="shared" ref="E25:M25" si="11">D25*(1+DIVGrowth)</f>
        <v>0</v>
      </c>
      <c r="F25" s="22">
        <f t="shared" si="11"/>
        <v>0</v>
      </c>
      <c r="G25" s="22">
        <f t="shared" si="11"/>
        <v>0</v>
      </c>
      <c r="H25" s="22">
        <f t="shared" si="11"/>
        <v>0</v>
      </c>
      <c r="I25" s="22">
        <f t="shared" si="11"/>
        <v>0</v>
      </c>
      <c r="J25" s="22">
        <f t="shared" si="11"/>
        <v>0</v>
      </c>
      <c r="K25" s="22">
        <f t="shared" si="11"/>
        <v>0</v>
      </c>
      <c r="L25" s="22">
        <f t="shared" si="11"/>
        <v>0</v>
      </c>
      <c r="M25" s="22">
        <f t="shared" si="11"/>
        <v>0</v>
      </c>
    </row>
    <row r="26" spans="2:17" x14ac:dyDescent="0.3">
      <c r="C26" s="13"/>
    </row>
    <row r="27" spans="2:17" x14ac:dyDescent="0.3">
      <c r="B27" s="1" t="s">
        <v>84</v>
      </c>
      <c r="C27" s="13"/>
    </row>
    <row r="28" spans="2:17" x14ac:dyDescent="0.3">
      <c r="C28" s="13"/>
    </row>
    <row r="29" spans="2:17" x14ac:dyDescent="0.3">
      <c r="B29" t="s">
        <v>14</v>
      </c>
      <c r="C29" s="15"/>
    </row>
    <row r="30" spans="2:17" x14ac:dyDescent="0.3">
      <c r="B30" t="s">
        <v>15</v>
      </c>
      <c r="C30" s="15">
        <v>14372.17</v>
      </c>
      <c r="D30" s="4">
        <f>D87</f>
        <v>24763.828165997053</v>
      </c>
      <c r="E30" s="4">
        <f t="shared" ref="E30:L30" si="12">E87</f>
        <v>43759.96134337801</v>
      </c>
      <c r="F30" s="4">
        <f t="shared" si="12"/>
        <v>66809.312498293584</v>
      </c>
      <c r="G30" s="4">
        <f t="shared" si="12"/>
        <v>90919.064830303323</v>
      </c>
      <c r="H30" s="4">
        <f t="shared" si="12"/>
        <v>114149.15591608311</v>
      </c>
      <c r="I30" s="4">
        <f t="shared" si="12"/>
        <v>135836.62296527493</v>
      </c>
      <c r="J30" s="4">
        <f t="shared" si="12"/>
        <v>160176.25190717814</v>
      </c>
      <c r="K30" s="4">
        <f t="shared" si="12"/>
        <v>182215.17255989983</v>
      </c>
      <c r="L30" s="4">
        <f t="shared" si="12"/>
        <v>203861.70259365058</v>
      </c>
      <c r="M30" s="4">
        <f t="shared" ref="M30" si="13">M87</f>
        <v>226457.0508419729</v>
      </c>
    </row>
    <row r="31" spans="2:17" x14ac:dyDescent="0.3">
      <c r="B31" t="s">
        <v>16</v>
      </c>
      <c r="C31" s="15">
        <f t="shared" ref="C31:M31" si="14">(C9/365)*ARDSO</f>
        <v>5233.6898630136984</v>
      </c>
      <c r="D31" s="4">
        <f t="shared" si="14"/>
        <v>5508.8240450810026</v>
      </c>
      <c r="E31" s="4">
        <f t="shared" si="14"/>
        <v>5419.8139754982312</v>
      </c>
      <c r="F31" s="4">
        <f t="shared" si="14"/>
        <v>5979.0594709921952</v>
      </c>
      <c r="G31" s="4">
        <f t="shared" si="14"/>
        <v>6180.518119631698</v>
      </c>
      <c r="H31" s="4">
        <f t="shared" si="14"/>
        <v>6024.2217132376654</v>
      </c>
      <c r="I31" s="4">
        <f t="shared" si="14"/>
        <v>6622.2289631793619</v>
      </c>
      <c r="J31" s="4">
        <f t="shared" si="14"/>
        <v>7036.2603102710609</v>
      </c>
      <c r="K31" s="4">
        <f t="shared" si="14"/>
        <v>6710.7359927198404</v>
      </c>
      <c r="L31" s="4">
        <f t="shared" si="14"/>
        <v>7323.7661738737106</v>
      </c>
      <c r="M31" s="4">
        <f t="shared" si="14"/>
        <v>7446.4949040898009</v>
      </c>
    </row>
    <row r="32" spans="2:17" x14ac:dyDescent="0.3">
      <c r="B32" t="s">
        <v>17</v>
      </c>
      <c r="C32" s="15">
        <f t="shared" ref="C32:M32" si="15">(C10/365)*IDOH</f>
        <v>3809.8183561643837</v>
      </c>
      <c r="D32" s="4">
        <f t="shared" si="15"/>
        <v>4010.0998563457301</v>
      </c>
      <c r="E32" s="4">
        <f t="shared" si="15"/>
        <v>3945.305761575919</v>
      </c>
      <c r="F32" s="4">
        <f t="shared" si="15"/>
        <v>4352.4035855016718</v>
      </c>
      <c r="G32" s="4">
        <f t="shared" si="15"/>
        <v>4499.0536312024878</v>
      </c>
      <c r="H32" s="4">
        <f t="shared" si="15"/>
        <v>4385.2790412538889</v>
      </c>
      <c r="I32" s="4">
        <f t="shared" si="15"/>
        <v>4820.5931423143884</v>
      </c>
      <c r="J32" s="4">
        <f t="shared" si="15"/>
        <v>5121.9836082120219</v>
      </c>
      <c r="K32" s="4">
        <f t="shared" si="15"/>
        <v>4885.021053524003</v>
      </c>
      <c r="L32" s="4">
        <f t="shared" si="15"/>
        <v>5331.2709648051277</v>
      </c>
      <c r="M32" s="4">
        <f t="shared" si="15"/>
        <v>5420.6102610653707</v>
      </c>
    </row>
    <row r="33" spans="2:14" x14ac:dyDescent="0.3">
      <c r="B33" s="17" t="s">
        <v>18</v>
      </c>
      <c r="C33" s="28">
        <f>C30+C31+C32</f>
        <v>23415.67821917808</v>
      </c>
      <c r="D33" s="29">
        <f t="shared" ref="D33:M33" si="16">D30+D31+D32</f>
        <v>34282.752067423789</v>
      </c>
      <c r="E33" s="29">
        <f t="shared" si="16"/>
        <v>53125.081080452161</v>
      </c>
      <c r="F33" s="29">
        <f t="shared" si="16"/>
        <v>77140.775554787455</v>
      </c>
      <c r="G33" s="29">
        <f t="shared" si="16"/>
        <v>101598.63658113751</v>
      </c>
      <c r="H33" s="29">
        <f t="shared" si="16"/>
        <v>124558.65667057467</v>
      </c>
      <c r="I33" s="29">
        <f t="shared" si="16"/>
        <v>147279.44507076868</v>
      </c>
      <c r="J33" s="29">
        <f t="shared" si="16"/>
        <v>172334.49582566123</v>
      </c>
      <c r="K33" s="29">
        <f t="shared" si="16"/>
        <v>193810.92960614365</v>
      </c>
      <c r="L33" s="29">
        <f t="shared" si="16"/>
        <v>216516.73973232941</v>
      </c>
      <c r="M33" s="29">
        <f t="shared" si="16"/>
        <v>239324.15600712807</v>
      </c>
    </row>
    <row r="34" spans="2:14" x14ac:dyDescent="0.3">
      <c r="C34" s="13"/>
    </row>
    <row r="35" spans="2:14" x14ac:dyDescent="0.3">
      <c r="B35" t="s">
        <v>19</v>
      </c>
      <c r="C35" s="14">
        <v>40000</v>
      </c>
      <c r="D35" s="3">
        <f t="shared" ref="D35:M35" si="17">C35*(1+(GAGrowth))</f>
        <v>41000</v>
      </c>
      <c r="E35" s="3">
        <f t="shared" si="17"/>
        <v>42024.999999999993</v>
      </c>
      <c r="F35" s="3">
        <f t="shared" si="17"/>
        <v>43075.624999999985</v>
      </c>
      <c r="G35" s="3">
        <f t="shared" si="17"/>
        <v>44152.515624999978</v>
      </c>
      <c r="H35" s="3">
        <f t="shared" si="17"/>
        <v>45256.328515624977</v>
      </c>
      <c r="I35" s="3">
        <f t="shared" si="17"/>
        <v>46387.7367285156</v>
      </c>
      <c r="J35" s="3">
        <f t="shared" si="17"/>
        <v>47547.430146728482</v>
      </c>
      <c r="K35" s="3">
        <f t="shared" si="17"/>
        <v>48736.11590039669</v>
      </c>
      <c r="L35" s="3">
        <f t="shared" si="17"/>
        <v>49954.518797906603</v>
      </c>
      <c r="M35" s="3">
        <f t="shared" si="17"/>
        <v>51203.381767854262</v>
      </c>
      <c r="N35" s="3"/>
    </row>
    <row r="36" spans="2:14" x14ac:dyDescent="0.3">
      <c r="B36" t="s">
        <v>20</v>
      </c>
      <c r="C36" s="15">
        <f>C14</f>
        <v>3333.3333333333335</v>
      </c>
      <c r="D36" s="4">
        <f>C36+D14</f>
        <v>6750</v>
      </c>
      <c r="E36" s="4">
        <f t="shared" ref="E36:L36" si="18">D36+E14</f>
        <v>10252.083333333332</v>
      </c>
      <c r="F36" s="4">
        <f t="shared" si="18"/>
        <v>13841.718749999998</v>
      </c>
      <c r="G36" s="4">
        <f t="shared" si="18"/>
        <v>17521.095052083328</v>
      </c>
      <c r="H36" s="4">
        <f t="shared" si="18"/>
        <v>21292.455761718742</v>
      </c>
      <c r="I36" s="4">
        <f t="shared" si="18"/>
        <v>25158.100489095043</v>
      </c>
      <c r="J36" s="4">
        <f t="shared" si="18"/>
        <v>29120.386334655748</v>
      </c>
      <c r="K36" s="4">
        <f t="shared" si="18"/>
        <v>33181.729326355475</v>
      </c>
      <c r="L36" s="4">
        <f t="shared" si="18"/>
        <v>37344.605892847692</v>
      </c>
      <c r="M36" s="4">
        <f t="shared" ref="M36" si="19">L36+M14</f>
        <v>41611.554373502215</v>
      </c>
    </row>
    <row r="37" spans="2:14" x14ac:dyDescent="0.3">
      <c r="B37" s="17" t="s">
        <v>21</v>
      </c>
      <c r="C37" s="28">
        <f>C35-C36</f>
        <v>36666.666666666664</v>
      </c>
      <c r="D37" s="29">
        <f t="shared" ref="D37:M37" si="20">D35-D36</f>
        <v>34250</v>
      </c>
      <c r="E37" s="29">
        <f t="shared" si="20"/>
        <v>31772.916666666661</v>
      </c>
      <c r="F37" s="29">
        <f t="shared" si="20"/>
        <v>29233.906249999985</v>
      </c>
      <c r="G37" s="29">
        <f t="shared" si="20"/>
        <v>26631.42057291665</v>
      </c>
      <c r="H37" s="29">
        <f t="shared" si="20"/>
        <v>23963.872753906235</v>
      </c>
      <c r="I37" s="29">
        <f t="shared" si="20"/>
        <v>21229.636239420557</v>
      </c>
      <c r="J37" s="29">
        <f t="shared" si="20"/>
        <v>18427.043812072734</v>
      </c>
      <c r="K37" s="29">
        <f t="shared" si="20"/>
        <v>15554.386574041215</v>
      </c>
      <c r="L37" s="29">
        <f t="shared" si="20"/>
        <v>12609.912905058911</v>
      </c>
      <c r="M37" s="29">
        <f t="shared" si="20"/>
        <v>9591.8273943520471</v>
      </c>
    </row>
    <row r="38" spans="2:14" x14ac:dyDescent="0.3">
      <c r="C38" s="13"/>
    </row>
    <row r="39" spans="2:14" x14ac:dyDescent="0.3">
      <c r="B39" s="17" t="s">
        <v>22</v>
      </c>
      <c r="C39" s="28">
        <f>C33+C37</f>
        <v>60082.344885844745</v>
      </c>
      <c r="D39" s="29">
        <f t="shared" ref="D39:L39" si="21">D33+D37</f>
        <v>68532.752067423789</v>
      </c>
      <c r="E39" s="29">
        <f t="shared" si="21"/>
        <v>84897.997747118818</v>
      </c>
      <c r="F39" s="29">
        <f t="shared" si="21"/>
        <v>106374.68180478744</v>
      </c>
      <c r="G39" s="29">
        <f t="shared" si="21"/>
        <v>128230.05715405417</v>
      </c>
      <c r="H39" s="29">
        <f t="shared" si="21"/>
        <v>148522.52942448089</v>
      </c>
      <c r="I39" s="29">
        <f t="shared" si="21"/>
        <v>168509.08131018924</v>
      </c>
      <c r="J39" s="29">
        <f t="shared" si="21"/>
        <v>190761.53963773395</v>
      </c>
      <c r="K39" s="29">
        <f t="shared" si="21"/>
        <v>209365.31618018486</v>
      </c>
      <c r="L39" s="29">
        <f t="shared" si="21"/>
        <v>229126.65263738832</v>
      </c>
      <c r="M39" s="29">
        <f t="shared" ref="M39" si="22">M33+M37</f>
        <v>248915.98340148013</v>
      </c>
    </row>
    <row r="40" spans="2:14" x14ac:dyDescent="0.3">
      <c r="C40" s="15"/>
    </row>
    <row r="41" spans="2:14" x14ac:dyDescent="0.3">
      <c r="B41" t="s">
        <v>23</v>
      </c>
      <c r="C41" s="15"/>
    </row>
    <row r="42" spans="2:14" x14ac:dyDescent="0.3">
      <c r="B42" t="s">
        <v>24</v>
      </c>
      <c r="C42" s="15">
        <f t="shared" ref="C42:M42" si="23">(C10/365)*APDP</f>
        <v>2709.2041643835619</v>
      </c>
      <c r="D42" s="4">
        <f t="shared" si="23"/>
        <v>2851.6265645125191</v>
      </c>
      <c r="E42" s="4">
        <f t="shared" si="23"/>
        <v>2805.5507637873202</v>
      </c>
      <c r="F42" s="4">
        <f t="shared" si="23"/>
        <v>3095.0425496900775</v>
      </c>
      <c r="G42" s="4">
        <f t="shared" si="23"/>
        <v>3199.32702663288</v>
      </c>
      <c r="H42" s="4">
        <f t="shared" si="23"/>
        <v>3118.420651558321</v>
      </c>
      <c r="I42" s="4">
        <f t="shared" si="23"/>
        <v>3427.9773456457874</v>
      </c>
      <c r="J42" s="4">
        <f t="shared" si="23"/>
        <v>3642.2994547285489</v>
      </c>
      <c r="K42" s="4">
        <f t="shared" si="23"/>
        <v>3473.7927491726241</v>
      </c>
      <c r="L42" s="4">
        <f t="shared" si="23"/>
        <v>3791.1260194169799</v>
      </c>
      <c r="M42" s="4">
        <f t="shared" si="23"/>
        <v>3854.6561856464855</v>
      </c>
    </row>
    <row r="43" spans="2:14" x14ac:dyDescent="0.3">
      <c r="B43" t="s">
        <v>25</v>
      </c>
      <c r="C43" s="15">
        <f t="shared" ref="C43:M43" si="24">AEPerc*C9</f>
        <v>5618.52</v>
      </c>
      <c r="D43" s="4">
        <f t="shared" si="24"/>
        <v>5913.8846366310763</v>
      </c>
      <c r="E43" s="4">
        <f t="shared" si="24"/>
        <v>5818.3297089907492</v>
      </c>
      <c r="F43" s="4">
        <f t="shared" si="24"/>
        <v>6418.6961968004443</v>
      </c>
      <c r="G43" s="4">
        <f t="shared" si="24"/>
        <v>6634.9679813693238</v>
      </c>
      <c r="H43" s="4">
        <f t="shared" si="24"/>
        <v>6467.1791921521999</v>
      </c>
      <c r="I43" s="4">
        <f t="shared" si="24"/>
        <v>7109.1575634131386</v>
      </c>
      <c r="J43" s="4">
        <f t="shared" si="24"/>
        <v>7553.632391908639</v>
      </c>
      <c r="K43" s="4">
        <f t="shared" si="24"/>
        <v>7204.1724627727708</v>
      </c>
      <c r="L43" s="4">
        <f t="shared" si="24"/>
        <v>7862.2783925408949</v>
      </c>
      <c r="M43" s="4">
        <f t="shared" si="24"/>
        <v>7994.0312940964041</v>
      </c>
    </row>
    <row r="44" spans="2:14" x14ac:dyDescent="0.3">
      <c r="B44" t="s">
        <v>26</v>
      </c>
      <c r="C44" s="14">
        <f t="shared" ref="C44:M44" si="25">CPLTDPerc*C47</f>
        <v>4285.7142857142853</v>
      </c>
      <c r="D44" s="3">
        <f t="shared" si="25"/>
        <v>4285.7142857142853</v>
      </c>
      <c r="E44" s="3">
        <f t="shared" si="25"/>
        <v>5428.5714285714284</v>
      </c>
      <c r="F44" s="3">
        <f t="shared" si="25"/>
        <v>7000</v>
      </c>
      <c r="G44" s="3">
        <f t="shared" si="25"/>
        <v>8714.2857142857138</v>
      </c>
      <c r="H44" s="3">
        <f t="shared" si="25"/>
        <v>10428.571428571428</v>
      </c>
      <c r="I44" s="3">
        <f t="shared" si="25"/>
        <v>11857.142857142857</v>
      </c>
      <c r="J44" s="3">
        <f t="shared" si="25"/>
        <v>13571.428571428571</v>
      </c>
      <c r="K44" s="3">
        <f t="shared" si="25"/>
        <v>15142.857142857141</v>
      </c>
      <c r="L44" s="3">
        <f t="shared" si="25"/>
        <v>16571.428571428569</v>
      </c>
      <c r="M44" s="3">
        <f t="shared" si="25"/>
        <v>18142.857142857141</v>
      </c>
    </row>
    <row r="45" spans="2:14" x14ac:dyDescent="0.3">
      <c r="B45" s="17" t="s">
        <v>27</v>
      </c>
      <c r="C45" s="28">
        <f>SUM(C42:C44)</f>
        <v>12613.438450097849</v>
      </c>
      <c r="D45" s="29">
        <f>SUM(D42:D44)</f>
        <v>13051.225486857882</v>
      </c>
      <c r="E45" s="29">
        <f t="shared" ref="E45:M45" si="26">SUM(E42:E44)</f>
        <v>14052.451901349497</v>
      </c>
      <c r="F45" s="29">
        <f t="shared" si="26"/>
        <v>16513.738746490522</v>
      </c>
      <c r="G45" s="29">
        <f t="shared" si="26"/>
        <v>18548.580722287916</v>
      </c>
      <c r="H45" s="29">
        <f t="shared" si="26"/>
        <v>20014.17127228195</v>
      </c>
      <c r="I45" s="29">
        <f t="shared" si="26"/>
        <v>22394.277766201783</v>
      </c>
      <c r="J45" s="29">
        <f t="shared" si="26"/>
        <v>24767.360418065757</v>
      </c>
      <c r="K45" s="29">
        <f t="shared" si="26"/>
        <v>25820.822354802534</v>
      </c>
      <c r="L45" s="29">
        <f t="shared" si="26"/>
        <v>28224.832983386445</v>
      </c>
      <c r="M45" s="29">
        <f t="shared" si="26"/>
        <v>29991.544622600031</v>
      </c>
    </row>
    <row r="46" spans="2:14" x14ac:dyDescent="0.3">
      <c r="C46" s="13"/>
    </row>
    <row r="47" spans="2:14" x14ac:dyDescent="0.3">
      <c r="B47" t="s">
        <v>28</v>
      </c>
      <c r="C47" s="14">
        <v>30000</v>
      </c>
      <c r="D47" s="3">
        <v>30000</v>
      </c>
      <c r="E47" s="3">
        <f t="shared" ref="E47:M47" si="27">ROUND(LTDEq*D56,-3)</f>
        <v>38000</v>
      </c>
      <c r="F47" s="3">
        <f t="shared" si="27"/>
        <v>49000</v>
      </c>
      <c r="G47" s="3">
        <f t="shared" si="27"/>
        <v>61000</v>
      </c>
      <c r="H47" s="3">
        <f t="shared" si="27"/>
        <v>73000</v>
      </c>
      <c r="I47" s="3">
        <f t="shared" si="27"/>
        <v>83000</v>
      </c>
      <c r="J47" s="3">
        <f t="shared" si="27"/>
        <v>95000</v>
      </c>
      <c r="K47" s="3">
        <f t="shared" si="27"/>
        <v>106000</v>
      </c>
      <c r="L47" s="3">
        <f t="shared" si="27"/>
        <v>116000</v>
      </c>
      <c r="M47" s="3">
        <f t="shared" si="27"/>
        <v>127000</v>
      </c>
    </row>
    <row r="48" spans="2:14" x14ac:dyDescent="0.3">
      <c r="C48" s="13"/>
      <c r="I48" s="5"/>
    </row>
    <row r="49" spans="2:13" x14ac:dyDescent="0.3">
      <c r="B49" s="17" t="s">
        <v>29</v>
      </c>
      <c r="C49" s="28">
        <f>C45+C47</f>
        <v>42613.438450097849</v>
      </c>
      <c r="D49" s="29">
        <f t="shared" ref="D49:L49" si="28">D45+D47</f>
        <v>43051.225486857882</v>
      </c>
      <c r="E49" s="29">
        <f t="shared" si="28"/>
        <v>52052.451901349501</v>
      </c>
      <c r="F49" s="29">
        <f t="shared" si="28"/>
        <v>65513.738746490519</v>
      </c>
      <c r="G49" s="29">
        <f t="shared" si="28"/>
        <v>79548.580722287908</v>
      </c>
      <c r="H49" s="29">
        <f t="shared" si="28"/>
        <v>93014.17127228195</v>
      </c>
      <c r="I49" s="29">
        <f t="shared" si="28"/>
        <v>105394.27776620179</v>
      </c>
      <c r="J49" s="29">
        <f t="shared" si="28"/>
        <v>119767.36041806576</v>
      </c>
      <c r="K49" s="29">
        <f t="shared" si="28"/>
        <v>131820.82235480254</v>
      </c>
      <c r="L49" s="29">
        <f t="shared" si="28"/>
        <v>144224.83298338644</v>
      </c>
      <c r="M49" s="29">
        <f t="shared" ref="M49" si="29">M45+M47</f>
        <v>156991.54462260002</v>
      </c>
    </row>
    <row r="50" spans="2:13" x14ac:dyDescent="0.3">
      <c r="C50" s="13"/>
    </row>
    <row r="51" spans="2:13" x14ac:dyDescent="0.3">
      <c r="B51" t="s">
        <v>30</v>
      </c>
      <c r="C51" s="13"/>
    </row>
    <row r="52" spans="2:13" x14ac:dyDescent="0.3">
      <c r="B52" t="s">
        <v>31</v>
      </c>
      <c r="C52" s="14">
        <v>1000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</row>
    <row r="53" spans="2:13" x14ac:dyDescent="0.3">
      <c r="B53" t="s">
        <v>32</v>
      </c>
      <c r="C53" s="14">
        <v>9000</v>
      </c>
      <c r="D53" s="3">
        <v>9000</v>
      </c>
      <c r="E53" s="3">
        <v>9000</v>
      </c>
      <c r="F53" s="3">
        <v>9000</v>
      </c>
      <c r="G53" s="3">
        <v>9000</v>
      </c>
      <c r="H53" s="3">
        <v>9000</v>
      </c>
      <c r="I53" s="3">
        <v>9000</v>
      </c>
      <c r="J53" s="3">
        <v>9000</v>
      </c>
      <c r="K53" s="3">
        <v>9000</v>
      </c>
      <c r="L53" s="3">
        <v>9000</v>
      </c>
      <c r="M53" s="3">
        <v>9000</v>
      </c>
    </row>
    <row r="54" spans="2:13" x14ac:dyDescent="0.3">
      <c r="B54" t="s">
        <v>33</v>
      </c>
      <c r="C54" s="15">
        <f>C23-C25</f>
        <v>7468.9051904761864</v>
      </c>
      <c r="D54" s="4">
        <f>C54+D23-D25</f>
        <v>15481.525335295191</v>
      </c>
      <c r="E54" s="4">
        <f t="shared" ref="E54:L54" si="30">D54+E23-E25</f>
        <v>22845.544600498612</v>
      </c>
      <c r="F54" s="4">
        <f t="shared" si="30"/>
        <v>30860.941813026198</v>
      </c>
      <c r="G54" s="4">
        <f t="shared" si="30"/>
        <v>38681.475186495518</v>
      </c>
      <c r="H54" s="4">
        <f t="shared" si="30"/>
        <v>45508.356906928224</v>
      </c>
      <c r="I54" s="4">
        <f t="shared" si="30"/>
        <v>53114.802298716721</v>
      </c>
      <c r="J54" s="4">
        <f t="shared" si="30"/>
        <v>60994.177974397469</v>
      </c>
      <c r="K54" s="4">
        <f>J54+K23-K25</f>
        <v>67544.492580111619</v>
      </c>
      <c r="L54" s="4">
        <f t="shared" si="30"/>
        <v>74901.818408731138</v>
      </c>
      <c r="M54" s="4">
        <f t="shared" ref="M54" si="31">L54+M23-M25</f>
        <v>81924.437533609351</v>
      </c>
    </row>
    <row r="55" spans="2:13" x14ac:dyDescent="0.3">
      <c r="B55" t="s">
        <v>34</v>
      </c>
      <c r="C55" s="13">
        <f>-(C4*C91)</f>
        <v>0</v>
      </c>
      <c r="D55" s="4">
        <f>C55-D4*D91</f>
        <v>0</v>
      </c>
      <c r="E55" s="4">
        <f t="shared" ref="E55:M55" si="32">D55-E4*E91</f>
        <v>0</v>
      </c>
      <c r="F55" s="4">
        <f t="shared" si="32"/>
        <v>0</v>
      </c>
      <c r="G55" s="4">
        <f t="shared" si="32"/>
        <v>0</v>
      </c>
      <c r="H55" s="4">
        <f t="shared" si="32"/>
        <v>0</v>
      </c>
      <c r="I55" s="4">
        <f t="shared" si="32"/>
        <v>0</v>
      </c>
      <c r="J55" s="4">
        <f t="shared" si="32"/>
        <v>0</v>
      </c>
      <c r="K55" s="4">
        <f t="shared" si="32"/>
        <v>0</v>
      </c>
      <c r="L55" s="4">
        <f t="shared" si="32"/>
        <v>0</v>
      </c>
      <c r="M55" s="4">
        <f t="shared" si="32"/>
        <v>0</v>
      </c>
    </row>
    <row r="56" spans="2:13" x14ac:dyDescent="0.3">
      <c r="B56" s="27" t="s">
        <v>35</v>
      </c>
      <c r="C56" s="30">
        <f>SUM(C52:C55)</f>
        <v>17468.905190476187</v>
      </c>
      <c r="D56" s="31">
        <f t="shared" ref="D56:M56" si="33">SUM(D52:D55)</f>
        <v>25481.525335295191</v>
      </c>
      <c r="E56" s="31">
        <f t="shared" si="33"/>
        <v>32845.544600498615</v>
      </c>
      <c r="F56" s="31">
        <f t="shared" si="33"/>
        <v>40860.941813026198</v>
      </c>
      <c r="G56" s="31">
        <f t="shared" si="33"/>
        <v>48681.475186495518</v>
      </c>
      <c r="H56" s="31">
        <f t="shared" si="33"/>
        <v>55508.356906928224</v>
      </c>
      <c r="I56" s="31">
        <f t="shared" si="33"/>
        <v>63114.802298716721</v>
      </c>
      <c r="J56" s="31">
        <f t="shared" si="33"/>
        <v>70994.177974397462</v>
      </c>
      <c r="K56" s="31">
        <f t="shared" si="33"/>
        <v>77544.492580111619</v>
      </c>
      <c r="L56" s="31">
        <f t="shared" si="33"/>
        <v>84901.818408731138</v>
      </c>
      <c r="M56" s="31">
        <f t="shared" si="33"/>
        <v>91924.437533609351</v>
      </c>
    </row>
    <row r="57" spans="2:13" x14ac:dyDescent="0.3">
      <c r="B57" s="17" t="s">
        <v>70</v>
      </c>
      <c r="C57" s="28">
        <f>C56+C49</f>
        <v>60082.343640574036</v>
      </c>
      <c r="D57" s="29">
        <f t="shared" ref="D57:M57" si="34">D56+D49</f>
        <v>68532.750822153073</v>
      </c>
      <c r="E57" s="29">
        <f t="shared" si="34"/>
        <v>84897.996501848116</v>
      </c>
      <c r="F57" s="29">
        <f t="shared" si="34"/>
        <v>106374.68055951671</v>
      </c>
      <c r="G57" s="29">
        <f t="shared" si="34"/>
        <v>128230.05590878343</v>
      </c>
      <c r="H57" s="29">
        <f t="shared" si="34"/>
        <v>148522.52817921017</v>
      </c>
      <c r="I57" s="29">
        <f t="shared" si="34"/>
        <v>168509.0800649185</v>
      </c>
      <c r="J57" s="29">
        <f t="shared" si="34"/>
        <v>190761.53839246323</v>
      </c>
      <c r="K57" s="29">
        <f t="shared" si="34"/>
        <v>209365.31493491417</v>
      </c>
      <c r="L57" s="29">
        <f t="shared" si="34"/>
        <v>229126.65139211758</v>
      </c>
      <c r="M57" s="29">
        <f t="shared" si="34"/>
        <v>248915.98215620936</v>
      </c>
    </row>
    <row r="58" spans="2:13" x14ac:dyDescent="0.3">
      <c r="B58" s="1"/>
      <c r="C58" s="13"/>
    </row>
    <row r="59" spans="2:13" x14ac:dyDescent="0.3">
      <c r="B59" t="s">
        <v>68</v>
      </c>
      <c r="C59" s="16">
        <v>1000</v>
      </c>
      <c r="D59" s="8">
        <f>C59-D4</f>
        <v>1000</v>
      </c>
      <c r="E59" s="8">
        <f t="shared" ref="E59:M59" si="35">D59-E4</f>
        <v>1000</v>
      </c>
      <c r="F59" s="8">
        <f t="shared" si="35"/>
        <v>1000</v>
      </c>
      <c r="G59" s="8">
        <f t="shared" si="35"/>
        <v>1000</v>
      </c>
      <c r="H59" s="8">
        <f t="shared" si="35"/>
        <v>1000</v>
      </c>
      <c r="I59" s="8">
        <f t="shared" si="35"/>
        <v>1000</v>
      </c>
      <c r="J59" s="8">
        <f t="shared" si="35"/>
        <v>1000</v>
      </c>
      <c r="K59" s="8">
        <f t="shared" si="35"/>
        <v>1000</v>
      </c>
      <c r="L59" s="8">
        <f t="shared" si="35"/>
        <v>1000</v>
      </c>
      <c r="M59" s="8">
        <f t="shared" si="35"/>
        <v>1000</v>
      </c>
    </row>
    <row r="60" spans="2:13" x14ac:dyDescent="0.3">
      <c r="C60" s="13"/>
    </row>
    <row r="61" spans="2:13" x14ac:dyDescent="0.3">
      <c r="B61" s="26" t="s">
        <v>36</v>
      </c>
      <c r="C61" s="13"/>
    </row>
    <row r="62" spans="2:13" x14ac:dyDescent="0.3">
      <c r="B62" t="s">
        <v>37</v>
      </c>
      <c r="C62" s="13"/>
      <c r="D62" s="4">
        <f>D23</f>
        <v>8012.6201448190041</v>
      </c>
      <c r="E62" s="4">
        <f t="shared" ref="E62:L62" si="36">E23</f>
        <v>7364.0192652034193</v>
      </c>
      <c r="F62" s="4">
        <f t="shared" si="36"/>
        <v>8015.3972125275868</v>
      </c>
      <c r="G62" s="4">
        <f t="shared" si="36"/>
        <v>7820.5333734693168</v>
      </c>
      <c r="H62" s="4">
        <f t="shared" si="36"/>
        <v>6826.8817204327042</v>
      </c>
      <c r="I62" s="4">
        <f t="shared" si="36"/>
        <v>7606.4453917885003</v>
      </c>
      <c r="J62" s="4">
        <f t="shared" si="36"/>
        <v>7879.3756756807506</v>
      </c>
      <c r="K62" s="4">
        <f t="shared" si="36"/>
        <v>6550.3146057141494</v>
      </c>
      <c r="L62" s="4">
        <f t="shared" si="36"/>
        <v>7357.3258286195269</v>
      </c>
      <c r="M62" s="4">
        <f t="shared" ref="M62" si="37">M23</f>
        <v>7022.6191248782134</v>
      </c>
    </row>
    <row r="63" spans="2:13" x14ac:dyDescent="0.3">
      <c r="B63" t="s">
        <v>4</v>
      </c>
      <c r="C63" s="13"/>
      <c r="D63" s="4">
        <f>D14</f>
        <v>3416.6666666666665</v>
      </c>
      <c r="E63" s="4">
        <f t="shared" ref="E63:L63" si="38">E14</f>
        <v>3502.0833333333326</v>
      </c>
      <c r="F63" s="4">
        <f t="shared" si="38"/>
        <v>3589.6354166666656</v>
      </c>
      <c r="G63" s="4">
        <f t="shared" si="38"/>
        <v>3679.3763020833317</v>
      </c>
      <c r="H63" s="4">
        <f t="shared" si="38"/>
        <v>3771.3607096354149</v>
      </c>
      <c r="I63" s="4">
        <f t="shared" si="38"/>
        <v>3865.6447273763001</v>
      </c>
      <c r="J63" s="4">
        <f t="shared" si="38"/>
        <v>3962.285845560707</v>
      </c>
      <c r="K63" s="4">
        <f t="shared" si="38"/>
        <v>4061.3429916997243</v>
      </c>
      <c r="L63" s="4">
        <f t="shared" si="38"/>
        <v>4162.8765664922166</v>
      </c>
      <c r="M63" s="4">
        <f t="shared" ref="M63" si="39">M14</f>
        <v>4266.9484806545215</v>
      </c>
    </row>
    <row r="64" spans="2:13" x14ac:dyDescent="0.3">
      <c r="B64" t="s">
        <v>38</v>
      </c>
      <c r="C64" s="13"/>
      <c r="D64" s="4">
        <f>-(D31-C31)</f>
        <v>-275.13418206730421</v>
      </c>
      <c r="E64" s="4">
        <f t="shared" ref="E64:L64" si="40">-(E31-D31)</f>
        <v>89.010069582771393</v>
      </c>
      <c r="F64" s="4">
        <f t="shared" si="40"/>
        <v>-559.24549549396397</v>
      </c>
      <c r="G64" s="4">
        <f t="shared" si="40"/>
        <v>-201.45864863950283</v>
      </c>
      <c r="H64" s="4">
        <f t="shared" si="40"/>
        <v>156.2964063940326</v>
      </c>
      <c r="I64" s="4">
        <f t="shared" si="40"/>
        <v>-598.0072499416965</v>
      </c>
      <c r="J64" s="4">
        <f t="shared" si="40"/>
        <v>-414.03134709169899</v>
      </c>
      <c r="K64" s="4">
        <f t="shared" si="40"/>
        <v>325.52431755122052</v>
      </c>
      <c r="L64" s="4">
        <f t="shared" si="40"/>
        <v>-613.03018115387022</v>
      </c>
      <c r="M64" s="4">
        <f t="shared" ref="M64" si="41">-(M31-L31)</f>
        <v>-122.7287302160903</v>
      </c>
    </row>
    <row r="65" spans="2:13" x14ac:dyDescent="0.3">
      <c r="B65" t="s">
        <v>39</v>
      </c>
      <c r="C65" s="13"/>
      <c r="D65" s="4">
        <f>-(D32-C32)</f>
        <v>-200.28150018134647</v>
      </c>
      <c r="E65" s="4">
        <f t="shared" ref="E65:L65" si="42">-(E32-D32)</f>
        <v>64.794094769811181</v>
      </c>
      <c r="F65" s="4">
        <f t="shared" si="42"/>
        <v>-407.09782392575289</v>
      </c>
      <c r="G65" s="4">
        <f t="shared" si="42"/>
        <v>-146.65004570081601</v>
      </c>
      <c r="H65" s="4">
        <f t="shared" si="42"/>
        <v>113.77458994859899</v>
      </c>
      <c r="I65" s="4">
        <f t="shared" si="42"/>
        <v>-435.31410106049952</v>
      </c>
      <c r="J65" s="4">
        <f t="shared" si="42"/>
        <v>-301.39046589763348</v>
      </c>
      <c r="K65" s="4">
        <f t="shared" si="42"/>
        <v>236.96255468801883</v>
      </c>
      <c r="L65" s="4">
        <f t="shared" si="42"/>
        <v>-446.2499112811247</v>
      </c>
      <c r="M65" s="4">
        <f t="shared" ref="M65" si="43">-(M32-L32)</f>
        <v>-89.339296260242918</v>
      </c>
    </row>
    <row r="66" spans="2:13" x14ac:dyDescent="0.3">
      <c r="B66" t="s">
        <v>40</v>
      </c>
      <c r="C66" s="13"/>
      <c r="D66" s="4">
        <f>D42-C42</f>
        <v>142.42240012895718</v>
      </c>
      <c r="E66" s="4">
        <f t="shared" ref="E66:L66" si="44">E42-D42</f>
        <v>-46.07580072519886</v>
      </c>
      <c r="F66" s="4">
        <f t="shared" si="44"/>
        <v>289.49178590275733</v>
      </c>
      <c r="G66" s="4">
        <f t="shared" si="44"/>
        <v>104.28447694280248</v>
      </c>
      <c r="H66" s="4">
        <f t="shared" si="44"/>
        <v>-80.906375074559037</v>
      </c>
      <c r="I66" s="4">
        <f t="shared" si="44"/>
        <v>309.55669408746644</v>
      </c>
      <c r="J66" s="4">
        <f t="shared" si="44"/>
        <v>214.32210908276147</v>
      </c>
      <c r="K66" s="4">
        <f t="shared" si="44"/>
        <v>-168.50670555592478</v>
      </c>
      <c r="L66" s="4">
        <f t="shared" si="44"/>
        <v>317.33327024435584</v>
      </c>
      <c r="M66" s="4">
        <f t="shared" ref="M66" si="45">M42-L42</f>
        <v>63.530166229505539</v>
      </c>
    </row>
    <row r="67" spans="2:13" x14ac:dyDescent="0.3">
      <c r="B67" t="s">
        <v>41</v>
      </c>
      <c r="C67" s="13"/>
      <c r="D67" s="4">
        <f>D43-C43</f>
        <v>295.36463663107588</v>
      </c>
      <c r="E67" s="4">
        <f t="shared" ref="E67:L67" si="46">E43-D43</f>
        <v>-95.554927640327151</v>
      </c>
      <c r="F67" s="4">
        <f t="shared" si="46"/>
        <v>600.36648780969517</v>
      </c>
      <c r="G67" s="4">
        <f t="shared" si="46"/>
        <v>216.27178456887941</v>
      </c>
      <c r="H67" s="4">
        <f t="shared" si="46"/>
        <v>-167.78878921712385</v>
      </c>
      <c r="I67" s="4">
        <f t="shared" si="46"/>
        <v>641.97837126093873</v>
      </c>
      <c r="J67" s="4">
        <f t="shared" si="46"/>
        <v>444.47482849550033</v>
      </c>
      <c r="K67" s="4">
        <f t="shared" si="46"/>
        <v>-349.45992913586815</v>
      </c>
      <c r="L67" s="4">
        <f t="shared" si="46"/>
        <v>658.10592976812404</v>
      </c>
      <c r="M67" s="4">
        <f t="shared" ref="M67" si="47">M43-L43</f>
        <v>131.7529015555092</v>
      </c>
    </row>
    <row r="68" spans="2:13" x14ac:dyDescent="0.3">
      <c r="B68" s="1" t="s">
        <v>42</v>
      </c>
      <c r="C68" s="13"/>
      <c r="D68" s="4">
        <f>SUM(D62:D67)</f>
        <v>11391.658165997051</v>
      </c>
      <c r="E68" s="4">
        <f t="shared" ref="E68:M68" si="48">SUM(E62:E67)</f>
        <v>10878.276034523809</v>
      </c>
      <c r="F68" s="4">
        <f t="shared" si="48"/>
        <v>11528.547583486989</v>
      </c>
      <c r="G68" s="4">
        <f t="shared" si="48"/>
        <v>11472.357242724014</v>
      </c>
      <c r="H68" s="4">
        <f t="shared" si="48"/>
        <v>10619.618262119067</v>
      </c>
      <c r="I68" s="4">
        <f t="shared" si="48"/>
        <v>11390.30383351101</v>
      </c>
      <c r="J68" s="4">
        <f t="shared" si="48"/>
        <v>11785.036645830387</v>
      </c>
      <c r="K68" s="4">
        <f t="shared" si="48"/>
        <v>10656.177834961321</v>
      </c>
      <c r="L68" s="4">
        <f t="shared" si="48"/>
        <v>11436.361502689229</v>
      </c>
      <c r="M68" s="4">
        <f t="shared" si="48"/>
        <v>11272.782646841417</v>
      </c>
    </row>
    <row r="69" spans="2:13" x14ac:dyDescent="0.3">
      <c r="C69" s="13"/>
    </row>
    <row r="70" spans="2:13" x14ac:dyDescent="0.3">
      <c r="B70" t="s">
        <v>43</v>
      </c>
      <c r="C70" s="13"/>
      <c r="D70" s="4">
        <f>-(Sheet1!D35-Sheet1!C35)</f>
        <v>-1000</v>
      </c>
      <c r="E70" s="4">
        <f>-(Sheet1!E35-Sheet1!D35)</f>
        <v>-1024.9999999999927</v>
      </c>
      <c r="F70" s="4">
        <f>-(Sheet1!F35-Sheet1!E35)</f>
        <v>-1050.6249999999927</v>
      </c>
      <c r="G70" s="4">
        <f>-(Sheet1!G35-Sheet1!F35)</f>
        <v>-1076.8906249999927</v>
      </c>
      <c r="H70" s="4">
        <f>-(Sheet1!H35-Sheet1!G35)</f>
        <v>-1103.8128906249985</v>
      </c>
      <c r="I70" s="4">
        <f>-(Sheet1!I35-Sheet1!H35)</f>
        <v>-1131.408212890623</v>
      </c>
      <c r="J70" s="4">
        <f>-(Sheet1!J35-Sheet1!I35)</f>
        <v>-1159.6934182128825</v>
      </c>
      <c r="K70" s="4">
        <f>-(Sheet1!K35-Sheet1!J35)</f>
        <v>-1188.6857536682073</v>
      </c>
      <c r="L70" s="4">
        <f>-(Sheet1!L35-Sheet1!K35)</f>
        <v>-1218.4028975099136</v>
      </c>
      <c r="M70" s="4">
        <f>-(Sheet1!M35-Sheet1!L35)</f>
        <v>-1248.8629699476587</v>
      </c>
    </row>
    <row r="71" spans="2:13" x14ac:dyDescent="0.3">
      <c r="B71" t="s">
        <v>44</v>
      </c>
      <c r="C71" s="13"/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B72" s="1" t="s">
        <v>45</v>
      </c>
      <c r="C72" s="13"/>
      <c r="D72" s="4">
        <f>SUM(D70:D71)</f>
        <v>-1000</v>
      </c>
      <c r="E72" s="4">
        <f t="shared" ref="E72:M72" si="49">SUM(E70:E71)</f>
        <v>-1024.9999999999927</v>
      </c>
      <c r="F72" s="4">
        <f t="shared" si="49"/>
        <v>-1050.6249999999927</v>
      </c>
      <c r="G72" s="4">
        <f t="shared" si="49"/>
        <v>-1076.8906249999927</v>
      </c>
      <c r="H72" s="4">
        <f t="shared" si="49"/>
        <v>-1103.8128906249985</v>
      </c>
      <c r="I72" s="4">
        <f t="shared" si="49"/>
        <v>-1131.408212890623</v>
      </c>
      <c r="J72" s="4">
        <f t="shared" si="49"/>
        <v>-1159.6934182128825</v>
      </c>
      <c r="K72" s="4">
        <f t="shared" si="49"/>
        <v>-1188.6857536682073</v>
      </c>
      <c r="L72" s="4">
        <f t="shared" si="49"/>
        <v>-1218.4028975099136</v>
      </c>
      <c r="M72" s="4">
        <f t="shared" si="49"/>
        <v>-1248.8629699476587</v>
      </c>
    </row>
    <row r="73" spans="2:13" x14ac:dyDescent="0.3">
      <c r="C73" s="13"/>
    </row>
    <row r="74" spans="2:13" x14ac:dyDescent="0.3">
      <c r="B74" t="s">
        <v>46</v>
      </c>
      <c r="C74" s="13"/>
      <c r="D74" s="4">
        <f>Sheet1!D44-Sheet1!C44</f>
        <v>0</v>
      </c>
      <c r="E74" s="4">
        <f>Sheet1!E44-Sheet1!D44</f>
        <v>1142.8571428571431</v>
      </c>
      <c r="F74" s="4">
        <f>Sheet1!F44-Sheet1!E44</f>
        <v>1571.4285714285716</v>
      </c>
      <c r="G74" s="4">
        <f>Sheet1!G44-Sheet1!F44</f>
        <v>1714.2857142857138</v>
      </c>
      <c r="H74" s="4">
        <f>Sheet1!H44-Sheet1!G44</f>
        <v>1714.2857142857138</v>
      </c>
      <c r="I74" s="4">
        <f>Sheet1!I44-Sheet1!H44</f>
        <v>1428.5714285714294</v>
      </c>
      <c r="J74" s="4">
        <f>Sheet1!J44-Sheet1!I44</f>
        <v>1714.2857142857138</v>
      </c>
      <c r="K74" s="4">
        <f>Sheet1!K44-Sheet1!J44</f>
        <v>1571.4285714285706</v>
      </c>
      <c r="L74" s="4">
        <f>Sheet1!L44-Sheet1!K44</f>
        <v>1428.5714285714275</v>
      </c>
      <c r="M74" s="4">
        <f>Sheet1!M44-Sheet1!L44</f>
        <v>1571.4285714285725</v>
      </c>
    </row>
    <row r="75" spans="2:13" x14ac:dyDescent="0.3">
      <c r="B75" t="s">
        <v>47</v>
      </c>
      <c r="C75" s="13"/>
      <c r="D75" s="4">
        <f>D47-C47</f>
        <v>0</v>
      </c>
      <c r="E75" s="4">
        <f t="shared" ref="E75:L75" si="50">E47-D47</f>
        <v>8000</v>
      </c>
      <c r="F75" s="4">
        <f t="shared" si="50"/>
        <v>11000</v>
      </c>
      <c r="G75" s="4">
        <f t="shared" si="50"/>
        <v>12000</v>
      </c>
      <c r="H75" s="4">
        <f t="shared" si="50"/>
        <v>12000</v>
      </c>
      <c r="I75" s="4">
        <f t="shared" si="50"/>
        <v>10000</v>
      </c>
      <c r="J75" s="4">
        <f t="shared" si="50"/>
        <v>12000</v>
      </c>
      <c r="K75" s="4">
        <f t="shared" si="50"/>
        <v>11000</v>
      </c>
      <c r="L75" s="4">
        <f t="shared" si="50"/>
        <v>10000</v>
      </c>
      <c r="M75" s="4">
        <f t="shared" ref="M75" si="51">M47-L47</f>
        <v>11000</v>
      </c>
    </row>
    <row r="76" spans="2:13" x14ac:dyDescent="0.3">
      <c r="C76" s="13"/>
    </row>
    <row r="77" spans="2:13" x14ac:dyDescent="0.3">
      <c r="B77" t="s">
        <v>48</v>
      </c>
      <c r="C77" s="13"/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2:13" x14ac:dyDescent="0.3">
      <c r="B78" t="s">
        <v>49</v>
      </c>
      <c r="C78" s="13"/>
      <c r="D78" s="3">
        <f>D55-C55</f>
        <v>0</v>
      </c>
      <c r="E78" s="3">
        <f t="shared" ref="E78:L78" si="52">E55-D55</f>
        <v>0</v>
      </c>
      <c r="F78" s="3">
        <f t="shared" si="52"/>
        <v>0</v>
      </c>
      <c r="G78" s="3">
        <f t="shared" si="52"/>
        <v>0</v>
      </c>
      <c r="H78" s="3">
        <f t="shared" si="52"/>
        <v>0</v>
      </c>
      <c r="I78" s="3">
        <f t="shared" si="52"/>
        <v>0</v>
      </c>
      <c r="J78" s="3">
        <f t="shared" si="52"/>
        <v>0</v>
      </c>
      <c r="K78" s="3">
        <f t="shared" si="52"/>
        <v>0</v>
      </c>
      <c r="L78" s="3">
        <f t="shared" si="52"/>
        <v>0</v>
      </c>
      <c r="M78" s="3">
        <f t="shared" ref="M78" si="53">M55-L55</f>
        <v>0</v>
      </c>
    </row>
    <row r="79" spans="2:13" x14ac:dyDescent="0.3">
      <c r="C79" s="13"/>
    </row>
    <row r="80" spans="2:13" x14ac:dyDescent="0.3">
      <c r="B80" t="s">
        <v>13</v>
      </c>
      <c r="C80" s="13"/>
      <c r="D80" s="3">
        <f>-D25</f>
        <v>0</v>
      </c>
      <c r="E80" s="3">
        <f t="shared" ref="E80:L80" si="54">-E25</f>
        <v>0</v>
      </c>
      <c r="F80" s="3">
        <f t="shared" si="54"/>
        <v>0</v>
      </c>
      <c r="G80" s="3">
        <f t="shared" si="54"/>
        <v>0</v>
      </c>
      <c r="H80" s="3">
        <f t="shared" si="54"/>
        <v>0</v>
      </c>
      <c r="I80" s="3">
        <f t="shared" si="54"/>
        <v>0</v>
      </c>
      <c r="J80" s="3">
        <f t="shared" si="54"/>
        <v>0</v>
      </c>
      <c r="K80" s="3">
        <f t="shared" si="54"/>
        <v>0</v>
      </c>
      <c r="L80" s="3">
        <f t="shared" si="54"/>
        <v>0</v>
      </c>
      <c r="M80" s="3">
        <f t="shared" ref="M80" si="55">-M25</f>
        <v>0</v>
      </c>
    </row>
    <row r="81" spans="2:13" x14ac:dyDescent="0.3">
      <c r="C81" s="13"/>
    </row>
    <row r="82" spans="2:13" x14ac:dyDescent="0.3">
      <c r="B82" s="1" t="s">
        <v>50</v>
      </c>
      <c r="C82" s="13"/>
      <c r="D82" s="4">
        <f>SUM(D74:D80)</f>
        <v>0</v>
      </c>
      <c r="E82" s="4">
        <f t="shared" ref="E82:L82" si="56">SUM(E74:E80)</f>
        <v>9142.8571428571431</v>
      </c>
      <c r="F82" s="4">
        <f t="shared" si="56"/>
        <v>12571.428571428572</v>
      </c>
      <c r="G82" s="4">
        <f t="shared" si="56"/>
        <v>13714.285714285714</v>
      </c>
      <c r="H82" s="4">
        <f t="shared" si="56"/>
        <v>13714.285714285714</v>
      </c>
      <c r="I82" s="4">
        <f t="shared" si="56"/>
        <v>11428.571428571429</v>
      </c>
      <c r="J82" s="4">
        <f t="shared" si="56"/>
        <v>13714.285714285714</v>
      </c>
      <c r="K82" s="4">
        <f t="shared" si="56"/>
        <v>12571.428571428571</v>
      </c>
      <c r="L82" s="4">
        <f t="shared" si="56"/>
        <v>11428.571428571428</v>
      </c>
      <c r="M82" s="4">
        <f t="shared" ref="M82" si="57">SUM(M74:M80)</f>
        <v>12571.428571428572</v>
      </c>
    </row>
    <row r="83" spans="2:13" x14ac:dyDescent="0.3">
      <c r="C83" s="13"/>
    </row>
    <row r="84" spans="2:13" x14ac:dyDescent="0.3">
      <c r="B84" t="s">
        <v>51</v>
      </c>
      <c r="C84" s="13"/>
      <c r="D84" s="4">
        <f>D68+D72+D82</f>
        <v>10391.658165997051</v>
      </c>
      <c r="E84" s="4">
        <f t="shared" ref="E84:L84" si="58">E68+E72+E82</f>
        <v>18996.133177380958</v>
      </c>
      <c r="F84" s="4">
        <f t="shared" si="58"/>
        <v>23049.351154915566</v>
      </c>
      <c r="G84" s="4">
        <f t="shared" si="58"/>
        <v>24109.752332009735</v>
      </c>
      <c r="H84" s="4">
        <f t="shared" si="58"/>
        <v>23230.091085779783</v>
      </c>
      <c r="I84" s="4">
        <f t="shared" si="58"/>
        <v>21687.467049191815</v>
      </c>
      <c r="J84" s="4">
        <f t="shared" si="58"/>
        <v>24339.628941903218</v>
      </c>
      <c r="K84" s="4">
        <f t="shared" si="58"/>
        <v>22038.920652721685</v>
      </c>
      <c r="L84" s="4">
        <f t="shared" si="58"/>
        <v>21646.530033750743</v>
      </c>
      <c r="M84" s="4">
        <f t="shared" ref="M84" si="59">M68+M72+M82</f>
        <v>22595.348248322331</v>
      </c>
    </row>
    <row r="85" spans="2:13" x14ac:dyDescent="0.3">
      <c r="C85" s="13"/>
    </row>
    <row r="86" spans="2:13" x14ac:dyDescent="0.3">
      <c r="B86" s="1" t="s">
        <v>52</v>
      </c>
      <c r="C86" s="13"/>
      <c r="D86" s="3">
        <f>C30</f>
        <v>14372.17</v>
      </c>
      <c r="E86" s="3">
        <f t="shared" ref="E86:L86" si="60">D30</f>
        <v>24763.828165997053</v>
      </c>
      <c r="F86" s="3">
        <f t="shared" si="60"/>
        <v>43759.96134337801</v>
      </c>
      <c r="G86" s="3">
        <f t="shared" si="60"/>
        <v>66809.312498293584</v>
      </c>
      <c r="H86" s="3">
        <f t="shared" si="60"/>
        <v>90919.064830303323</v>
      </c>
      <c r="I86" s="3">
        <f t="shared" si="60"/>
        <v>114149.15591608311</v>
      </c>
      <c r="J86" s="3">
        <f t="shared" si="60"/>
        <v>135836.62296527493</v>
      </c>
      <c r="K86" s="3">
        <f t="shared" si="60"/>
        <v>160176.25190717814</v>
      </c>
      <c r="L86" s="3">
        <f t="shared" si="60"/>
        <v>182215.17255989983</v>
      </c>
      <c r="M86" s="3">
        <f t="shared" ref="M86" si="61">L30</f>
        <v>203861.70259365058</v>
      </c>
    </row>
    <row r="87" spans="2:13" x14ac:dyDescent="0.3">
      <c r="B87" s="1" t="s">
        <v>53</v>
      </c>
      <c r="C87" s="13"/>
      <c r="D87" s="4">
        <f>D84+D86</f>
        <v>24763.828165997053</v>
      </c>
      <c r="E87" s="4">
        <f t="shared" ref="E87:M87" si="62">E84+E86</f>
        <v>43759.96134337801</v>
      </c>
      <c r="F87" s="4">
        <f t="shared" si="62"/>
        <v>66809.312498293584</v>
      </c>
      <c r="G87" s="4">
        <f t="shared" si="62"/>
        <v>90919.064830303323</v>
      </c>
      <c r="H87" s="4">
        <f t="shared" si="62"/>
        <v>114149.15591608311</v>
      </c>
      <c r="I87" s="4">
        <f t="shared" si="62"/>
        <v>135836.62296527493</v>
      </c>
      <c r="J87" s="4">
        <f t="shared" si="62"/>
        <v>160176.25190717814</v>
      </c>
      <c r="K87" s="4">
        <f t="shared" si="62"/>
        <v>182215.17255989983</v>
      </c>
      <c r="L87" s="4">
        <f t="shared" si="62"/>
        <v>203861.70259365058</v>
      </c>
      <c r="M87" s="4">
        <f t="shared" si="62"/>
        <v>226457.0508419729</v>
      </c>
    </row>
    <row r="89" spans="2:13" x14ac:dyDescent="0.3">
      <c r="B89" t="s">
        <v>79</v>
      </c>
      <c r="D89" s="3">
        <f>D25/D59</f>
        <v>0</v>
      </c>
      <c r="E89" s="3">
        <f t="shared" ref="E89:M89" si="63">E25/E59</f>
        <v>0</v>
      </c>
      <c r="F89" s="3">
        <f t="shared" si="63"/>
        <v>0</v>
      </c>
      <c r="G89" s="3">
        <f t="shared" si="63"/>
        <v>0</v>
      </c>
      <c r="H89" s="3">
        <f t="shared" si="63"/>
        <v>0</v>
      </c>
      <c r="I89" s="3">
        <f t="shared" si="63"/>
        <v>0</v>
      </c>
      <c r="J89" s="3">
        <f t="shared" si="63"/>
        <v>0</v>
      </c>
      <c r="K89" s="3">
        <f t="shared" si="63"/>
        <v>0</v>
      </c>
      <c r="L89" s="3">
        <f t="shared" si="63"/>
        <v>0</v>
      </c>
      <c r="M89" s="3">
        <f t="shared" si="63"/>
        <v>0</v>
      </c>
    </row>
    <row r="90" spans="2:13" x14ac:dyDescent="0.3">
      <c r="B90" t="s">
        <v>73</v>
      </c>
      <c r="C90" s="3">
        <f>C23/C59</f>
        <v>7.4689051904761863</v>
      </c>
      <c r="D90" s="3">
        <f t="shared" ref="D90:M90" si="64">D23/D59</f>
        <v>8.0126201448190049</v>
      </c>
      <c r="E90" s="3">
        <f t="shared" si="64"/>
        <v>7.3640192652034191</v>
      </c>
      <c r="F90" s="3">
        <f t="shared" si="64"/>
        <v>8.0153972125275867</v>
      </c>
      <c r="G90" s="3">
        <f t="shared" si="64"/>
        <v>7.820533373469317</v>
      </c>
      <c r="H90" s="3">
        <f t="shared" si="64"/>
        <v>6.8268817204327039</v>
      </c>
      <c r="I90" s="3">
        <f t="shared" si="64"/>
        <v>7.6064453917885002</v>
      </c>
      <c r="J90" s="3">
        <f t="shared" si="64"/>
        <v>7.8793756756807509</v>
      </c>
      <c r="K90" s="3">
        <f t="shared" si="64"/>
        <v>6.5503146057141493</v>
      </c>
      <c r="L90" s="3">
        <f t="shared" si="64"/>
        <v>7.3573258286195271</v>
      </c>
      <c r="M90" s="3">
        <f t="shared" si="64"/>
        <v>7.0226191248782133</v>
      </c>
    </row>
    <row r="91" spans="2:13" x14ac:dyDescent="0.3">
      <c r="B91" t="s">
        <v>74</v>
      </c>
      <c r="C91" s="4">
        <f t="shared" ref="C91:M91" si="65">C90*PERatio</f>
        <v>97.095767476190417</v>
      </c>
      <c r="D91" s="4">
        <f t="shared" si="65"/>
        <v>104.16406188264706</v>
      </c>
      <c r="E91" s="4">
        <f t="shared" si="65"/>
        <v>95.732250447644446</v>
      </c>
      <c r="F91" s="4">
        <f t="shared" si="65"/>
        <v>104.20016376285862</v>
      </c>
      <c r="G91" s="4">
        <f t="shared" si="65"/>
        <v>101.66693385510112</v>
      </c>
      <c r="H91" s="4">
        <f t="shared" si="65"/>
        <v>88.749462365625149</v>
      </c>
      <c r="I91" s="4">
        <f t="shared" si="65"/>
        <v>98.883790093250497</v>
      </c>
      <c r="J91" s="4">
        <f t="shared" si="65"/>
        <v>102.43188378384976</v>
      </c>
      <c r="K91" s="4">
        <f t="shared" si="65"/>
        <v>85.15408987428394</v>
      </c>
      <c r="L91" s="4">
        <f t="shared" si="65"/>
        <v>95.645235772053852</v>
      </c>
      <c r="M91" s="4">
        <f t="shared" si="65"/>
        <v>91.294048623416771</v>
      </c>
    </row>
    <row r="92" spans="2:13" x14ac:dyDescent="0.3">
      <c r="B92" t="s">
        <v>85</v>
      </c>
      <c r="C92" s="4">
        <f>C91*C59</f>
        <v>97095.76747619042</v>
      </c>
      <c r="D92" s="4">
        <f t="shared" ref="D92:M92" si="66">D91*D59</f>
        <v>104164.06188264706</v>
      </c>
      <c r="E92" s="4">
        <f t="shared" si="66"/>
        <v>95732.250447644445</v>
      </c>
      <c r="F92" s="4">
        <f t="shared" si="66"/>
        <v>104200.16376285862</v>
      </c>
      <c r="G92" s="4">
        <f t="shared" si="66"/>
        <v>101666.93385510112</v>
      </c>
      <c r="H92" s="4">
        <f t="shared" si="66"/>
        <v>88749.46236562515</v>
      </c>
      <c r="I92" s="4">
        <f t="shared" si="66"/>
        <v>98883.7900932505</v>
      </c>
      <c r="J92" s="4">
        <f t="shared" si="66"/>
        <v>102431.88378384976</v>
      </c>
      <c r="K92" s="4">
        <f t="shared" si="66"/>
        <v>85154.089874283934</v>
      </c>
      <c r="L92" s="4">
        <f t="shared" si="66"/>
        <v>95645.235772053857</v>
      </c>
      <c r="M92" s="4">
        <f t="shared" si="66"/>
        <v>91294.048623416777</v>
      </c>
    </row>
    <row r="94" spans="2:13" x14ac:dyDescent="0.3">
      <c r="B94" t="s">
        <v>76</v>
      </c>
      <c r="D94" s="10">
        <f>D89/C91</f>
        <v>0</v>
      </c>
      <c r="E94" s="10">
        <f t="shared" ref="E94:M94" si="67">E89/D91</f>
        <v>0</v>
      </c>
      <c r="F94" s="10">
        <f t="shared" si="67"/>
        <v>0</v>
      </c>
      <c r="G94" s="10">
        <f t="shared" si="67"/>
        <v>0</v>
      </c>
      <c r="H94" s="10">
        <f t="shared" si="67"/>
        <v>0</v>
      </c>
      <c r="I94" s="10">
        <f t="shared" si="67"/>
        <v>0</v>
      </c>
      <c r="J94" s="10">
        <f t="shared" si="67"/>
        <v>0</v>
      </c>
      <c r="K94" s="10">
        <f t="shared" si="67"/>
        <v>0</v>
      </c>
      <c r="L94" s="10">
        <f t="shared" si="67"/>
        <v>0</v>
      </c>
      <c r="M94" s="10">
        <f t="shared" si="67"/>
        <v>0</v>
      </c>
    </row>
    <row r="95" spans="2:13" x14ac:dyDescent="0.3">
      <c r="B95" t="s">
        <v>77</v>
      </c>
      <c r="D95" s="10">
        <f>(D91-C91)/C91</f>
        <v>7.2797142349072155E-2</v>
      </c>
      <c r="E95" s="10">
        <f t="shared" ref="E95:M95" si="68">(E91-D91)/D91</f>
        <v>-8.0947413941115626E-2</v>
      </c>
      <c r="F95" s="10">
        <f t="shared" si="68"/>
        <v>8.8454134062640064E-2</v>
      </c>
      <c r="G95" s="10">
        <f t="shared" si="68"/>
        <v>-2.4311189313700989E-2</v>
      </c>
      <c r="H95" s="10">
        <f t="shared" si="68"/>
        <v>-0.12705676270208319</v>
      </c>
      <c r="I95" s="10">
        <f t="shared" si="68"/>
        <v>0.11419029994654505</v>
      </c>
      <c r="J95" s="10">
        <f t="shared" si="68"/>
        <v>3.5881449196610446E-2</v>
      </c>
      <c r="K95" s="10">
        <f t="shared" si="68"/>
        <v>-0.16867593635225103</v>
      </c>
      <c r="L95" s="10">
        <f t="shared" si="68"/>
        <v>0.12320190273019616</v>
      </c>
      <c r="M95" s="10">
        <f t="shared" si="68"/>
        <v>-4.5492983665250522E-2</v>
      </c>
    </row>
    <row r="97" spans="2:13" x14ac:dyDescent="0.3">
      <c r="B97" t="s">
        <v>78</v>
      </c>
      <c r="D97" s="10">
        <f>D94+D95</f>
        <v>7.2797142349072155E-2</v>
      </c>
      <c r="E97" s="10">
        <f t="shared" ref="E97:M97" si="69">E94+E95</f>
        <v>-8.0947413941115626E-2</v>
      </c>
      <c r="F97" s="10">
        <f t="shared" si="69"/>
        <v>8.8454134062640064E-2</v>
      </c>
      <c r="G97" s="10">
        <f t="shared" si="69"/>
        <v>-2.4311189313700989E-2</v>
      </c>
      <c r="H97" s="10">
        <f t="shared" si="69"/>
        <v>-0.12705676270208319</v>
      </c>
      <c r="I97" s="10">
        <f t="shared" si="69"/>
        <v>0.11419029994654505</v>
      </c>
      <c r="J97" s="10">
        <f t="shared" si="69"/>
        <v>3.5881449196610446E-2</v>
      </c>
      <c r="K97" s="10">
        <f t="shared" si="69"/>
        <v>-0.16867593635225103</v>
      </c>
      <c r="L97" s="10">
        <f t="shared" si="69"/>
        <v>0.12320190273019616</v>
      </c>
      <c r="M97" s="10">
        <f t="shared" si="69"/>
        <v>-4.5492983665250522E-2</v>
      </c>
    </row>
    <row r="99" spans="2:13" x14ac:dyDescent="0.3">
      <c r="B99" t="s">
        <v>81</v>
      </c>
      <c r="C99" s="12">
        <f>AVERAGE(D97:N97)</f>
        <v>-1.1959357689337493E-3</v>
      </c>
    </row>
    <row r="100" spans="2:13" x14ac:dyDescent="0.3">
      <c r="F1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5589-FC96-4013-833C-C2B2818E70DE}">
  <dimension ref="A1:N25"/>
  <sheetViews>
    <sheetView topLeftCell="A16" workbookViewId="0">
      <selection activeCell="C26" sqref="C26"/>
    </sheetView>
  </sheetViews>
  <sheetFormatPr defaultRowHeight="14.4" x14ac:dyDescent="0.3"/>
  <cols>
    <col min="1" max="1" width="11.33203125" bestFit="1" customWidth="1"/>
    <col min="2" max="2" width="21.44140625" bestFit="1" customWidth="1"/>
    <col min="3" max="3" width="14.44140625" customWidth="1"/>
  </cols>
  <sheetData>
    <row r="1" spans="1:14" x14ac:dyDescent="0.3">
      <c r="A1" t="s">
        <v>11</v>
      </c>
    </row>
    <row r="2" spans="1:14" x14ac:dyDescent="0.3">
      <c r="B2" t="s">
        <v>56</v>
      </c>
      <c r="C2" s="2">
        <v>0.05</v>
      </c>
    </row>
    <row r="7" spans="1:14" x14ac:dyDescent="0.3">
      <c r="D7">
        <v>2024</v>
      </c>
      <c r="E7">
        <v>2025</v>
      </c>
      <c r="F7">
        <v>2026</v>
      </c>
      <c r="G7">
        <v>2027</v>
      </c>
      <c r="H7">
        <v>2028</v>
      </c>
      <c r="I7">
        <v>2029</v>
      </c>
      <c r="J7">
        <v>2030</v>
      </c>
      <c r="K7">
        <v>2031</v>
      </c>
      <c r="L7">
        <v>2032</v>
      </c>
      <c r="M7">
        <v>2033</v>
      </c>
      <c r="N7">
        <v>2034</v>
      </c>
    </row>
    <row r="9" spans="1:14" x14ac:dyDescent="0.3">
      <c r="B9" t="s">
        <v>54</v>
      </c>
      <c r="C9" s="2">
        <v>0.03</v>
      </c>
      <c r="E9">
        <v>1.0525698291776262</v>
      </c>
      <c r="F9">
        <v>0.98384227398545232</v>
      </c>
      <c r="G9">
        <v>1.1031853672510139</v>
      </c>
      <c r="H9">
        <v>1.0336940365983804</v>
      </c>
      <c r="I9">
        <v>0.97471143949929118</v>
      </c>
      <c r="J9">
        <v>1.0992671382973225</v>
      </c>
      <c r="K9">
        <v>1.062521448502276</v>
      </c>
      <c r="L9">
        <v>0.95373617472963002</v>
      </c>
      <c r="M9">
        <v>1.0913506628511265</v>
      </c>
      <c r="N9">
        <v>1.0167575981130998</v>
      </c>
    </row>
    <row r="10" spans="1:14" x14ac:dyDescent="0.3">
      <c r="B10" t="s">
        <v>55</v>
      </c>
      <c r="C10">
        <v>0.55000000000000004</v>
      </c>
    </row>
    <row r="11" spans="1:14" x14ac:dyDescent="0.3">
      <c r="B11" t="s">
        <v>57</v>
      </c>
      <c r="C11">
        <v>0.2</v>
      </c>
    </row>
    <row r="12" spans="1:14" x14ac:dyDescent="0.3">
      <c r="B12" t="s">
        <v>60</v>
      </c>
      <c r="C12">
        <v>0.17</v>
      </c>
    </row>
    <row r="14" spans="1:14" x14ac:dyDescent="0.3">
      <c r="B14" t="s">
        <v>58</v>
      </c>
      <c r="C14" s="2">
        <v>2.5000000000000001E-2</v>
      </c>
    </row>
    <row r="15" spans="1:14" x14ac:dyDescent="0.3">
      <c r="B15" t="s">
        <v>59</v>
      </c>
      <c r="C15">
        <v>12</v>
      </c>
    </row>
    <row r="17" spans="2:3" x14ac:dyDescent="0.3">
      <c r="B17" t="s">
        <v>61</v>
      </c>
      <c r="C17" s="2">
        <v>0.05</v>
      </c>
    </row>
    <row r="19" spans="2:3" x14ac:dyDescent="0.3">
      <c r="B19" t="s">
        <v>62</v>
      </c>
      <c r="C19">
        <v>34</v>
      </c>
    </row>
    <row r="20" spans="2:3" x14ac:dyDescent="0.3">
      <c r="B20" t="s">
        <v>63</v>
      </c>
      <c r="C20">
        <v>45</v>
      </c>
    </row>
    <row r="21" spans="2:3" x14ac:dyDescent="0.3">
      <c r="B21" t="s">
        <v>64</v>
      </c>
      <c r="C21">
        <v>32</v>
      </c>
    </row>
    <row r="22" spans="2:3" x14ac:dyDescent="0.3">
      <c r="B22" t="s">
        <v>65</v>
      </c>
      <c r="C22">
        <v>0.1</v>
      </c>
    </row>
    <row r="23" spans="2:3" x14ac:dyDescent="0.3">
      <c r="B23" t="s">
        <v>69</v>
      </c>
      <c r="C23">
        <f>1/7</f>
        <v>0.14285714285714285</v>
      </c>
    </row>
    <row r="24" spans="2:3" x14ac:dyDescent="0.3">
      <c r="B24" t="s">
        <v>66</v>
      </c>
      <c r="C24">
        <v>13</v>
      </c>
    </row>
    <row r="25" spans="2:3" x14ac:dyDescent="0.3">
      <c r="B25" t="s">
        <v>72</v>
      </c>
      <c r="C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Sheet1</vt:lpstr>
      <vt:lpstr>Sheet2</vt:lpstr>
      <vt:lpstr>AEPerc</vt:lpstr>
      <vt:lpstr>APDP</vt:lpstr>
      <vt:lpstr>ARDSO</vt:lpstr>
      <vt:lpstr>COGSPerc</vt:lpstr>
      <vt:lpstr>CPLTDPerc</vt:lpstr>
      <vt:lpstr>DeprYears</vt:lpstr>
      <vt:lpstr>DIVGrowth</vt:lpstr>
      <vt:lpstr>DPRatio</vt:lpstr>
      <vt:lpstr>GAGrowth</vt:lpstr>
      <vt:lpstr>IDOH</vt:lpstr>
      <vt:lpstr>irate</vt:lpstr>
      <vt:lpstr>LTDEq</vt:lpstr>
      <vt:lpstr>PERatio</vt:lpstr>
      <vt:lpstr>SalesGr</vt:lpstr>
      <vt:lpstr>SDSalesGr</vt:lpstr>
      <vt:lpstr>SGAPerc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Vandalsem</dc:creator>
  <cp:lastModifiedBy>Shane Vandalsem</cp:lastModifiedBy>
  <dcterms:created xsi:type="dcterms:W3CDTF">2024-03-21T15:02:39Z</dcterms:created>
  <dcterms:modified xsi:type="dcterms:W3CDTF">2024-03-23T16:48:20Z</dcterms:modified>
</cp:coreProperties>
</file>