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n Details" sheetId="1" r:id="rId3"/>
    <sheet state="visible" name="Top Models in each case" sheetId="2" r:id="rId4"/>
    <sheet state="visible" name="Run Details Raw Values" sheetId="3" r:id="rId5"/>
  </sheets>
  <definedNames>
    <definedName hidden="1" localSheetId="0" name="_xlnm._FilterDatabase">'Run Details'!$A$1:$Q$109</definedName>
  </definedNames>
  <calcPr/>
</workbook>
</file>

<file path=xl/sharedStrings.xml><?xml version="1.0" encoding="utf-8"?>
<sst xmlns="http://schemas.openxmlformats.org/spreadsheetml/2006/main" count="1173" uniqueCount="141">
  <si>
    <t>Run ID</t>
  </si>
  <si>
    <t>learning_name</t>
  </si>
  <si>
    <t>total_images</t>
  </si>
  <si>
    <t>input_shape</t>
  </si>
  <si>
    <t>model_type</t>
  </si>
  <si>
    <t>dropout</t>
  </si>
  <si>
    <t>optimizer_type</t>
  </si>
  <si>
    <t>learning_rate</t>
  </si>
  <si>
    <t>epochs</t>
  </si>
  <si>
    <t>batch_size</t>
  </si>
  <si>
    <t>test_accuracy</t>
  </si>
  <si>
    <t>rescale</t>
  </si>
  <si>
    <t>precision</t>
  </si>
  <si>
    <t>recall</t>
  </si>
  <si>
    <t>f1-score</t>
  </si>
  <si>
    <t>support</t>
  </si>
  <si>
    <t>Class</t>
  </si>
  <si>
    <t>VGG19TransferLearning</t>
  </si>
  <si>
    <t>(256,256,3)</t>
  </si>
  <si>
    <t>FC514</t>
  </si>
  <si>
    <t>Adam</t>
  </si>
  <si>
    <t>Normal</t>
  </si>
  <si>
    <t>FC</t>
  </si>
  <si>
    <t>RMS</t>
  </si>
  <si>
    <t>VGG16TransferLearning</t>
  </si>
  <si>
    <t>FC1026</t>
  </si>
  <si>
    <t>FC1024</t>
  </si>
  <si>
    <t>XceptionTransferLearning</t>
  </si>
  <si>
    <t>(1024,1024,3)</t>
  </si>
  <si>
    <t>No Lung Opacity / Not Normal</t>
  </si>
  <si>
    <t>FCTest</t>
  </si>
  <si>
    <t>0.73 0.66 0.69 398</t>
  </si>
  <si>
    <t>Lung Opacity</t>
  </si>
  <si>
    <t>(256, 256, 3)</t>
  </si>
  <si>
    <t>Adadelta</t>
  </si>
  <si>
    <t>(128,128,3)</t>
  </si>
  <si>
    <t>SGD</t>
  </si>
  <si>
    <t>0.54 0.65 0.59 379</t>
  </si>
  <si>
    <t>Initial Analysis</t>
  </si>
  <si>
    <t>0.83 0.74 0.78 383</t>
  </si>
  <si>
    <t>FC512</t>
  </si>
  <si>
    <t>0.66 0.68 0.67 350</t>
  </si>
  <si>
    <t>0.58 0.63 0.61 426</t>
  </si>
  <si>
    <t>0.84 0.74 0.79 384</t>
  </si>
  <si>
    <t>0.71 0.66 0.69 388</t>
  </si>
  <si>
    <t xml:space="preserve">avg / total </t>
  </si>
  <si>
    <t>FC513</t>
  </si>
  <si>
    <t>0.49 0.68 0.57 329</t>
  </si>
  <si>
    <t>0.92 0.71 0.80 443</t>
  </si>
  <si>
    <t>FC1025</t>
  </si>
  <si>
    <t>0.66 0.61 0.64 310</t>
  </si>
  <si>
    <t>0.60 0.73 0.66 184</t>
  </si>
  <si>
    <t>FC16</t>
  </si>
  <si>
    <t>0.82 0.76 0.79 231</t>
  </si>
  <si>
    <t>0.65 0.63 0.64 300</t>
  </si>
  <si>
    <t>0.68 0.70 0.69 217</t>
  </si>
  <si>
    <t>0.79 0.81 0.80 208</t>
  </si>
  <si>
    <t>VGG19TransferLearning 8697 (256,256,3) FC 0.3 SGD 0.0001 15 16 62.52873563218391 1.0</t>
  </si>
  <si>
    <t>0.49 0.57 0.53 297</t>
  </si>
  <si>
    <t>0.62 0.64 0.63 264</t>
  </si>
  <si>
    <t>0.80 0.67 0.73 309</t>
  </si>
  <si>
    <t>VGG19TransferLearning 5798 (256,256,3) FC 0.3 Adam 0.0001 15 16 66.20689655172414 1.0</t>
  </si>
  <si>
    <t>0.60 0.60 0.60 229</t>
  </si>
  <si>
    <t>0.61 0.69 0.65 158</t>
  </si>
  <si>
    <t>0.81 0.72 0.76 193</t>
  </si>
  <si>
    <t>VGG19TransferLearning 5798 (256,256,3) FC 0.3 Adam 0.0001 20 10 67.93103448275862 1.0</t>
  </si>
  <si>
    <t>0.55 0.65 0.59 195</t>
  </si>
  <si>
    <t>0.71 0.66 0.68 193</t>
  </si>
  <si>
    <t>0.82 0.73 0.78 192</t>
  </si>
  <si>
    <t>VGG19TransferLearning 5798 (256,256,3) FC 0.3 Adam 0.0001 10 24 66.37931034482759 1.0</t>
  </si>
  <si>
    <t>0.56 0.62 0.59 208</t>
  </si>
  <si>
    <t>0.66 0.66 0.66 181</t>
  </si>
  <si>
    <t>VGG19TransferLearning 5798 (256,256,3) FC 0.3 Adam 0.0001 15 16 69.82758620689656 1.0</t>
  </si>
  <si>
    <t>0.65 0.65 0.65 232</t>
  </si>
  <si>
    <t>0.61 0.72 0.66 151</t>
  </si>
  <si>
    <t>0.85 0.74 0.79 197</t>
  </si>
  <si>
    <t>VGG16TransferLearning 5798 (256,256,3) FC 0.3 Adam 0.0001 15 24 66.55172413793103 1.0</t>
  </si>
  <si>
    <t>0.52 0.63 0.57 188</t>
  </si>
  <si>
    <t>0.69 0.67 0.68 185</t>
  </si>
  <si>
    <t>0.84 0.69 0.76 207</t>
  </si>
  <si>
    <t>VGG16TransferLearning 5798 (256,256,3) FC1024 0.25 Adam 0.0001 15 24 68.10344827586206 1.0</t>
  </si>
  <si>
    <t>0.51 0.66 0.57 177</t>
  </si>
  <si>
    <t>0.75 0.66 0.70 203</t>
  </si>
  <si>
    <t>0.84 0.72 0.78 200</t>
  </si>
  <si>
    <t>VGG16TransferLearning 1450 (256,256,3) FC1024 0.4 Adam 0.0001 15 24 65.51724137931035 1.0</t>
  </si>
  <si>
    <t>0.42 0.67 0.52 36</t>
  </si>
  <si>
    <t>0.73 0.66 0.69 50</t>
  </si>
  <si>
    <t>0.88 0.64 0.75 59</t>
  </si>
  <si>
    <t>VGG16TransferLearning 1450 (256,256,3) FC 0.4 Adam 0.0001 15 24 67.58620689655173 1.0</t>
  </si>
  <si>
    <t>0.63 0.62 0.63 58</t>
  </si>
  <si>
    <t>0.67 0.71 0.69 42</t>
  </si>
  <si>
    <t>0.74 0.71 0.73 45</t>
  </si>
  <si>
    <t>VGG16TransferLearning 2899 (256,256,3) FC 0.4 Adam 0.0001 20 200 54.48275862068966 1.0</t>
  </si>
  <si>
    <t>0.29 0.67 0.40 49</t>
  </si>
  <si>
    <t>0.80 0.47 0.59 154</t>
  </si>
  <si>
    <t>0.62 0.61 0.62 87</t>
  </si>
  <si>
    <t>XceptionTransferLearning 2899 (256,256,3) FC 0.4 Adam 0.0001 20 200 54.48275862068966 1.0</t>
  </si>
  <si>
    <t>XceptionTransferLearning 5798 (256,256,3) FC1024 0.25 Adam 0.0001 20 24 53.10344827586207 1.0</t>
  </si>
  <si>
    <t>0.51 0.46 0.48 259</t>
  </si>
  <si>
    <t>0.45 0.56 0.50 145</t>
  </si>
  <si>
    <t>0.64 0.62 0.63 176</t>
  </si>
  <si>
    <t>XceptionTransferLearning 5798 (256,256,3) FC1024 0.2 Adam 1e-05 40 200 52.241379310344826 1.0</t>
  </si>
  <si>
    <t>0.17 0.73 0.27 41</t>
  </si>
  <si>
    <t>0.68 0.46 0.55 340</t>
  </si>
  <si>
    <t>0.68 0.58 0.63 199</t>
  </si>
  <si>
    <t>XceptionTransferLearning 5798 (256,256,3) FC1024 0.1 Adam 0.001 25 100 46.98275862068966 1.0</t>
  </si>
  <si>
    <t>0.07 0.70 0.13 37</t>
  </si>
  <si>
    <t>0.48 0.43 0.46 506</t>
  </si>
  <si>
    <t>0.88 0.48 0.62 617</t>
  </si>
  <si>
    <t>XceptionTransferLearning 5798 (256,256,3) FC1024 0.05 RMS 0.0001 25 75 53.96551724137931 1.0</t>
  </si>
  <si>
    <t>0.47 0.62 0.53 271</t>
  </si>
  <si>
    <t>0.61 0.46 0.53 612</t>
  </si>
  <si>
    <t>0.52 0.64 0.57 277</t>
  </si>
  <si>
    <t>XceptionTransferLearning 2899 (256,256,3) FC1024 0.2 Adam 0.0001 50 50 53.44827586206897 1.0</t>
  </si>
  <si>
    <t>0.25 0.69 0.37 65</t>
  </si>
  <si>
    <t>0.79 0.46 0.58 399</t>
  </si>
  <si>
    <t>0.49 0.72 0.58 116</t>
  </si>
  <si>
    <t>XceptionTransferLearning 1450 (256,256,3) FC1024 0.05 Adam 0.0001 30 20 53.44827586206897 1.0</t>
  </si>
  <si>
    <t>0.34 0.70 0.46 44</t>
  </si>
  <si>
    <t>0.61 0.48 0.53 147</t>
  </si>
  <si>
    <t>0.64 0.55 0.59 99</t>
  </si>
  <si>
    <t>XceptionTransferLearning 290 (256,256,3) FC16 0.2 Adam 0.0001 20 8 46.55172413793103</t>
  </si>
  <si>
    <t>0.28 0.62 0.38 8</t>
  </si>
  <si>
    <t>XceptionTransferLearning 290 (256,256,3) FC16 0.2 Adam 0.0001 20 8 46.55172413793104</t>
  </si>
  <si>
    <t>0.35 0.42 0.38 19</t>
  </si>
  <si>
    <t>XceptionTransferLearning 290 (256,256,3) FC16 0.2 Adam 0.0001 20 8 46.55172413793105</t>
  </si>
  <si>
    <t>0.82 0.45 0.58 31</t>
  </si>
  <si>
    <t>XceptionTransferLearning 290 (256,256,3) FC1024 0.2 Adam 0.0001 20 8 55.172413793103446</t>
  </si>
  <si>
    <t>0.43 0.48 0.45 21</t>
  </si>
  <si>
    <t>XceptionTransferLearning 290 (256,256,3) FC1024 0.2 Adam 0.0001 20 8 55.172413793103445</t>
  </si>
  <si>
    <t>0.56 0.59 0.57 17</t>
  </si>
  <si>
    <t>XceptionTransferLearning 290 (256,256,3) FC1024 0.2 Adam 0.0001 20 8 55.172413793103447</t>
  </si>
  <si>
    <t>0.71 0.60 0.65 20</t>
  </si>
  <si>
    <t>0.50 0.50 0.50 115</t>
  </si>
  <si>
    <t>0.59 0.62 0.60 86</t>
  </si>
  <si>
    <t>0.62 0.60 0.61 89</t>
  </si>
  <si>
    <t>0.00 0.00 0.00 0</t>
  </si>
  <si>
    <t>1.00 0.40 0.57 58</t>
  </si>
  <si>
    <t>0.39 0.78 0.52 9</t>
  </si>
  <si>
    <t>0.83 0.51 0.63 37</t>
  </si>
  <si>
    <t>0.41 0.58 0.48 12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</si>
</sst>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000000"/>
      <name val="Arial"/>
    </font>
    <font>
      <b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0" xfId="0" applyFont="1" applyNumberFormat="1"/>
    <xf borderId="0" fillId="0" fontId="4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3" numFmtId="0" xfId="0" applyAlignment="1" applyBorder="1" applyFill="1" applyFont="1">
      <alignment readingOrder="0"/>
    </xf>
    <xf borderId="1" fillId="0" fontId="1" numFmtId="0" xfId="0" applyAlignment="1" applyBorder="1" applyFont="1">
      <alignment horizontal="right" readingOrder="0"/>
    </xf>
    <xf borderId="1" fillId="3" fontId="3" numFmtId="0" xfId="0" applyAlignment="1" applyBorder="1" applyFill="1" applyFont="1">
      <alignment readingOrder="0" shrinkToFit="0" wrapText="1"/>
    </xf>
    <xf borderId="1" fillId="0" fontId="1" numFmtId="10" xfId="0" applyBorder="1" applyFont="1" applyNumberFormat="1"/>
    <xf borderId="1" fillId="0" fontId="1" numFmtId="0" xfId="0" applyBorder="1" applyFont="1"/>
    <xf borderId="1" fillId="4" fontId="3" numFmtId="0" xfId="0" applyAlignment="1" applyBorder="1" applyFill="1" applyFont="1">
      <alignment readingOrder="0"/>
    </xf>
    <xf borderId="1" fillId="5" fontId="3" numFmtId="0" xfId="0" applyAlignment="1" applyBorder="1" applyFill="1" applyFont="1">
      <alignment readingOrder="0"/>
    </xf>
    <xf borderId="0" fillId="0" fontId="1" numFmtId="0" xfId="0" applyAlignment="1" applyFont="1">
      <alignment horizontal="center"/>
    </xf>
    <xf borderId="1" fillId="2" fontId="3" numFmtId="0" xfId="0" applyAlignment="1" applyBorder="1" applyFont="1">
      <alignment readingOrder="0"/>
    </xf>
    <xf borderId="1" fillId="6" fontId="1" numFmtId="10" xfId="0" applyBorder="1" applyFill="1" applyFont="1" applyNumberFormat="1"/>
    <xf borderId="0" fillId="0" fontId="3" numFmtId="0" xfId="0" applyAlignment="1" applyFont="1">
      <alignment readingOrder="0" shrinkToFit="0" wrapText="1"/>
    </xf>
    <xf borderId="1" fillId="7" fontId="1" numFmtId="10" xfId="0" applyBorder="1" applyFill="1" applyFont="1" applyNumberFormat="1"/>
    <xf borderId="0" fillId="0" fontId="4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8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8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32.0</v>
      </c>
      <c r="B2" s="1" t="s">
        <v>17</v>
      </c>
      <c r="C2" s="1">
        <v>10147.0</v>
      </c>
      <c r="D2" s="1" t="s">
        <v>18</v>
      </c>
      <c r="E2" s="1" t="s">
        <v>19</v>
      </c>
      <c r="F2" s="1">
        <v>0.4</v>
      </c>
      <c r="G2" s="1" t="s">
        <v>20</v>
      </c>
      <c r="H2" s="1">
        <v>1.0E-4</v>
      </c>
      <c r="I2" s="1">
        <v>15.0</v>
      </c>
      <c r="J2" s="1">
        <v>16.0</v>
      </c>
      <c r="K2" s="1">
        <v>69.9507389162561</v>
      </c>
      <c r="L2" s="1">
        <v>100.0</v>
      </c>
      <c r="M2" s="1">
        <v>0.88</v>
      </c>
      <c r="N2" s="1">
        <v>0.74</v>
      </c>
      <c r="O2" s="1">
        <v>0.81</v>
      </c>
      <c r="P2" s="1">
        <v>355.0</v>
      </c>
      <c r="Q2" s="1" t="s">
        <v>21</v>
      </c>
    </row>
    <row r="3">
      <c r="A3" s="1">
        <v>24.0</v>
      </c>
      <c r="B3" s="1" t="s">
        <v>17</v>
      </c>
      <c r="C3" s="1">
        <v>7248.0</v>
      </c>
      <c r="D3" s="1" t="s">
        <v>18</v>
      </c>
      <c r="E3" s="1" t="s">
        <v>22</v>
      </c>
      <c r="F3" s="1">
        <v>0.4</v>
      </c>
      <c r="G3" s="1" t="s">
        <v>23</v>
      </c>
      <c r="H3" s="1">
        <v>1.0E-4</v>
      </c>
      <c r="I3" s="1">
        <v>15.0</v>
      </c>
      <c r="J3" s="1">
        <v>16.0</v>
      </c>
      <c r="K3" s="1">
        <v>70.2068965517241</v>
      </c>
      <c r="L3" s="1">
        <v>100.0</v>
      </c>
      <c r="M3">
        <v>0.79</v>
      </c>
      <c r="N3">
        <v>0.81</v>
      </c>
      <c r="O3">
        <v>0.8</v>
      </c>
      <c r="P3">
        <v>208.0</v>
      </c>
      <c r="Q3" s="1" t="s">
        <v>21</v>
      </c>
    </row>
    <row r="4">
      <c r="A4" s="1">
        <v>36.0</v>
      </c>
      <c r="B4" s="1" t="s">
        <v>24</v>
      </c>
      <c r="C4" s="1">
        <v>11596.0</v>
      </c>
      <c r="D4" s="1" t="s">
        <v>18</v>
      </c>
      <c r="E4" s="1" t="s">
        <v>25</v>
      </c>
      <c r="F4" s="1">
        <v>0.45</v>
      </c>
      <c r="G4" s="1" t="s">
        <v>20</v>
      </c>
      <c r="H4" s="1">
        <v>1.0E-4</v>
      </c>
      <c r="I4" s="1">
        <v>15.0</v>
      </c>
      <c r="J4" s="1">
        <v>16.0</v>
      </c>
      <c r="K4" s="1">
        <v>69.4827586206896</v>
      </c>
      <c r="L4" s="1">
        <v>100.0</v>
      </c>
      <c r="M4" s="1">
        <v>0.84</v>
      </c>
      <c r="N4" s="1">
        <v>0.76</v>
      </c>
      <c r="O4" s="1">
        <v>0.8</v>
      </c>
      <c r="P4" s="1">
        <v>378.0</v>
      </c>
      <c r="Q4" s="1" t="s">
        <v>21</v>
      </c>
    </row>
    <row r="5">
      <c r="A5" s="1">
        <v>37.0</v>
      </c>
      <c r="B5" s="1" t="s">
        <v>24</v>
      </c>
      <c r="C5" s="1">
        <v>11596.0</v>
      </c>
      <c r="D5" s="1" t="s">
        <v>18</v>
      </c>
      <c r="E5" s="1" t="s">
        <v>19</v>
      </c>
      <c r="F5" s="1">
        <v>0.45</v>
      </c>
      <c r="G5" s="1" t="s">
        <v>20</v>
      </c>
      <c r="H5" s="1">
        <v>1.0E-4</v>
      </c>
      <c r="I5" s="1">
        <v>15.0</v>
      </c>
      <c r="J5" s="1">
        <v>16.0</v>
      </c>
      <c r="K5" s="1">
        <v>68.3620689655172</v>
      </c>
      <c r="L5" s="1">
        <v>100.0</v>
      </c>
      <c r="M5" s="1">
        <v>0.92</v>
      </c>
      <c r="N5" s="1">
        <v>0.71</v>
      </c>
      <c r="O5" s="1">
        <v>0.8</v>
      </c>
      <c r="P5" s="1">
        <v>443.0</v>
      </c>
      <c r="Q5" s="1" t="s">
        <v>21</v>
      </c>
    </row>
    <row r="6">
      <c r="A6" s="1">
        <v>31.0</v>
      </c>
      <c r="B6" s="1" t="s">
        <v>17</v>
      </c>
      <c r="C6" s="1">
        <v>10147.0</v>
      </c>
      <c r="D6" s="1" t="s">
        <v>18</v>
      </c>
      <c r="E6" s="5" t="s">
        <v>26</v>
      </c>
      <c r="F6" s="1">
        <v>0.4</v>
      </c>
      <c r="G6" s="1" t="s">
        <v>20</v>
      </c>
      <c r="H6" s="1">
        <v>1.0E-4</v>
      </c>
      <c r="I6" s="1">
        <v>15.0</v>
      </c>
      <c r="J6" s="1">
        <v>16.0</v>
      </c>
      <c r="K6" s="1">
        <v>70.5418719211822</v>
      </c>
      <c r="L6" s="1">
        <v>100.0</v>
      </c>
      <c r="M6" s="1">
        <v>0.83</v>
      </c>
      <c r="N6" s="1">
        <v>0.76</v>
      </c>
      <c r="O6" s="1">
        <v>0.79</v>
      </c>
      <c r="P6" s="1">
        <v>326.0</v>
      </c>
      <c r="Q6" s="1" t="s">
        <v>21</v>
      </c>
    </row>
    <row r="7">
      <c r="A7" s="1">
        <v>25.0</v>
      </c>
      <c r="B7" s="1" t="s">
        <v>17</v>
      </c>
      <c r="C7" s="1">
        <v>7248.0</v>
      </c>
      <c r="D7" s="1" t="s">
        <v>18</v>
      </c>
      <c r="E7" s="1" t="s">
        <v>22</v>
      </c>
      <c r="F7" s="1">
        <v>0.5</v>
      </c>
      <c r="G7" s="1" t="s">
        <v>23</v>
      </c>
      <c r="H7" s="1">
        <v>1.0E-4</v>
      </c>
      <c r="I7" s="1">
        <v>15.0</v>
      </c>
      <c r="J7" s="1">
        <v>12.0</v>
      </c>
      <c r="K7" s="1">
        <v>68.9655172413793</v>
      </c>
      <c r="L7" s="1">
        <v>255.0</v>
      </c>
      <c r="M7">
        <v>0.82</v>
      </c>
      <c r="N7">
        <v>0.76</v>
      </c>
      <c r="O7">
        <v>0.79</v>
      </c>
      <c r="P7">
        <v>231.0</v>
      </c>
      <c r="Q7" s="1" t="s">
        <v>21</v>
      </c>
    </row>
    <row r="8">
      <c r="A8" s="1">
        <v>19.0</v>
      </c>
      <c r="B8" t="s">
        <v>17</v>
      </c>
      <c r="C8">
        <v>5798.0</v>
      </c>
      <c r="D8" t="s">
        <v>18</v>
      </c>
      <c r="E8" t="s">
        <v>22</v>
      </c>
      <c r="F8">
        <v>0.3</v>
      </c>
      <c r="G8" t="s">
        <v>20</v>
      </c>
      <c r="H8">
        <v>1.0E-4</v>
      </c>
      <c r="I8">
        <v>15.0</v>
      </c>
      <c r="J8">
        <v>16.0</v>
      </c>
      <c r="K8">
        <v>69.8275862068965</v>
      </c>
      <c r="L8">
        <v>1.0</v>
      </c>
      <c r="M8">
        <v>0.85</v>
      </c>
      <c r="N8">
        <v>0.74</v>
      </c>
      <c r="O8">
        <v>0.79</v>
      </c>
      <c r="P8">
        <v>197.0</v>
      </c>
      <c r="Q8" s="1" t="s">
        <v>21</v>
      </c>
    </row>
    <row r="9">
      <c r="A9" s="1">
        <v>33.0</v>
      </c>
      <c r="B9" s="1" t="s">
        <v>17</v>
      </c>
      <c r="C9" s="1">
        <v>10147.0</v>
      </c>
      <c r="D9" s="1" t="s">
        <v>18</v>
      </c>
      <c r="E9" s="1" t="s">
        <v>22</v>
      </c>
      <c r="F9" s="1">
        <v>0.4</v>
      </c>
      <c r="G9" s="1" t="s">
        <v>20</v>
      </c>
      <c r="H9" s="1">
        <v>1.0E-4</v>
      </c>
      <c r="I9" s="1">
        <v>15.0</v>
      </c>
      <c r="J9" s="1">
        <v>16.0</v>
      </c>
      <c r="K9" s="1">
        <v>68.2758620689655</v>
      </c>
      <c r="L9" s="1">
        <v>100.0</v>
      </c>
      <c r="M9" s="1">
        <v>0.84</v>
      </c>
      <c r="N9" s="1">
        <v>0.74</v>
      </c>
      <c r="O9" s="1">
        <v>0.79</v>
      </c>
      <c r="P9" s="1">
        <v>338.0</v>
      </c>
      <c r="Q9" s="1" t="s">
        <v>21</v>
      </c>
    </row>
    <row r="10">
      <c r="A10" s="1">
        <v>38.0</v>
      </c>
      <c r="B10" s="1" t="s">
        <v>24</v>
      </c>
      <c r="C10" s="1">
        <v>11596.0</v>
      </c>
      <c r="D10" s="1" t="s">
        <v>18</v>
      </c>
      <c r="E10" s="1" t="s">
        <v>22</v>
      </c>
      <c r="F10" s="1">
        <v>0.45</v>
      </c>
      <c r="G10" s="1" t="s">
        <v>20</v>
      </c>
      <c r="H10" s="1">
        <v>1.0E-4</v>
      </c>
      <c r="I10" s="1">
        <v>15.0</v>
      </c>
      <c r="J10" s="1">
        <v>16.0</v>
      </c>
      <c r="K10" s="1">
        <v>68.1896551724138</v>
      </c>
      <c r="L10" s="1">
        <v>100.0</v>
      </c>
      <c r="M10" s="1">
        <v>0.84</v>
      </c>
      <c r="N10" s="1">
        <v>0.74</v>
      </c>
      <c r="O10" s="1">
        <v>0.79</v>
      </c>
      <c r="P10" s="1">
        <v>384.0</v>
      </c>
      <c r="Q10" s="1" t="s">
        <v>21</v>
      </c>
    </row>
    <row r="11">
      <c r="A11" s="1">
        <v>28.0</v>
      </c>
      <c r="B11" s="1" t="s">
        <v>17</v>
      </c>
      <c r="C11" s="1">
        <v>10147.0</v>
      </c>
      <c r="D11" s="1" t="s">
        <v>18</v>
      </c>
      <c r="E11" s="1" t="s">
        <v>22</v>
      </c>
      <c r="F11" s="1">
        <v>0.35</v>
      </c>
      <c r="G11" s="1" t="s">
        <v>20</v>
      </c>
      <c r="H11" s="1">
        <v>1.0E-4</v>
      </c>
      <c r="I11" s="1">
        <v>15.0</v>
      </c>
      <c r="J11" s="1">
        <v>15.0</v>
      </c>
      <c r="K11" s="1">
        <v>68.3743842364532</v>
      </c>
      <c r="L11" s="1">
        <v>100.0</v>
      </c>
      <c r="M11" s="1">
        <v>0.87</v>
      </c>
      <c r="N11" s="1">
        <v>0.73</v>
      </c>
      <c r="O11" s="1">
        <v>0.79</v>
      </c>
      <c r="P11" s="1">
        <v>353.0</v>
      </c>
      <c r="Q11" s="1" t="s">
        <v>21</v>
      </c>
    </row>
    <row r="12">
      <c r="A12" s="1">
        <v>35.0</v>
      </c>
      <c r="B12" s="1" t="s">
        <v>17</v>
      </c>
      <c r="C12" s="1">
        <v>10147.0</v>
      </c>
      <c r="D12" s="1" t="s">
        <v>33</v>
      </c>
      <c r="E12" s="1" t="s">
        <v>30</v>
      </c>
      <c r="F12" s="1">
        <v>0.45</v>
      </c>
      <c r="G12" s="1" t="s">
        <v>20</v>
      </c>
      <c r="H12" s="1">
        <v>1.0E-4</v>
      </c>
      <c r="I12" s="1">
        <v>15.0</v>
      </c>
      <c r="J12" s="1">
        <v>16.0</v>
      </c>
      <c r="K12" s="1">
        <v>69.1625615763546</v>
      </c>
      <c r="L12" s="1">
        <v>100.0</v>
      </c>
      <c r="M12" s="1">
        <v>0.9</v>
      </c>
      <c r="N12" s="1">
        <v>0.7</v>
      </c>
      <c r="O12" s="1">
        <v>0.79</v>
      </c>
      <c r="P12" s="1">
        <v>382.0</v>
      </c>
      <c r="Q12" s="1" t="s">
        <v>21</v>
      </c>
    </row>
    <row r="13">
      <c r="A13" s="1">
        <v>39.0</v>
      </c>
      <c r="B13" s="1" t="s">
        <v>24</v>
      </c>
      <c r="C13" s="1">
        <v>11596.0</v>
      </c>
      <c r="D13" s="1" t="s">
        <v>18</v>
      </c>
      <c r="E13" s="1" t="s">
        <v>30</v>
      </c>
      <c r="F13" s="1">
        <v>0.45</v>
      </c>
      <c r="G13" s="1" t="s">
        <v>20</v>
      </c>
      <c r="H13" s="1">
        <v>1.0E-4</v>
      </c>
      <c r="I13" s="1">
        <v>15.0</v>
      </c>
      <c r="J13" s="1">
        <v>16.0</v>
      </c>
      <c r="K13" s="1">
        <v>68.2758620689655</v>
      </c>
      <c r="L13" s="1">
        <v>100.0</v>
      </c>
      <c r="M13" s="1">
        <v>0.83</v>
      </c>
      <c r="N13" s="1">
        <v>0.74</v>
      </c>
      <c r="O13" s="1">
        <v>0.78</v>
      </c>
      <c r="P13" s="1">
        <v>383.0</v>
      </c>
      <c r="Q13" s="1" t="s">
        <v>21</v>
      </c>
    </row>
    <row r="14">
      <c r="A14" s="1">
        <v>21.0</v>
      </c>
      <c r="B14" t="s">
        <v>17</v>
      </c>
      <c r="C14">
        <v>5798.0</v>
      </c>
      <c r="D14" t="s">
        <v>18</v>
      </c>
      <c r="E14" t="s">
        <v>22</v>
      </c>
      <c r="F14">
        <v>0.3</v>
      </c>
      <c r="G14" t="s">
        <v>20</v>
      </c>
      <c r="H14">
        <v>1.0E-4</v>
      </c>
      <c r="I14">
        <v>20.0</v>
      </c>
      <c r="J14">
        <v>10.0</v>
      </c>
      <c r="K14">
        <v>67.9310344827586</v>
      </c>
      <c r="L14">
        <v>1.0</v>
      </c>
      <c r="M14">
        <v>0.82</v>
      </c>
      <c r="N14">
        <v>0.73</v>
      </c>
      <c r="O14">
        <v>0.78</v>
      </c>
      <c r="P14">
        <v>192.0</v>
      </c>
      <c r="Q14" s="1" t="s">
        <v>21</v>
      </c>
    </row>
    <row r="15">
      <c r="A15" s="1">
        <v>17.0</v>
      </c>
      <c r="B15" t="s">
        <v>24</v>
      </c>
      <c r="C15">
        <v>5798.0</v>
      </c>
      <c r="D15" t="s">
        <v>18</v>
      </c>
      <c r="E15" t="s">
        <v>26</v>
      </c>
      <c r="F15">
        <v>0.25</v>
      </c>
      <c r="G15" t="s">
        <v>20</v>
      </c>
      <c r="H15">
        <v>1.0E-4</v>
      </c>
      <c r="I15">
        <v>15.0</v>
      </c>
      <c r="J15">
        <v>24.0</v>
      </c>
      <c r="K15">
        <v>68.103448275862</v>
      </c>
      <c r="L15">
        <v>1.0</v>
      </c>
      <c r="M15">
        <v>0.84</v>
      </c>
      <c r="N15">
        <v>0.72</v>
      </c>
      <c r="O15">
        <v>0.78</v>
      </c>
      <c r="P15">
        <v>200.0</v>
      </c>
      <c r="Q15" s="1" t="s">
        <v>21</v>
      </c>
    </row>
    <row r="16">
      <c r="A16" s="1">
        <v>34.0</v>
      </c>
      <c r="B16" s="1" t="s">
        <v>17</v>
      </c>
      <c r="C16" s="1">
        <v>11596.0</v>
      </c>
      <c r="D16" s="1" t="s">
        <v>18</v>
      </c>
      <c r="E16" s="1" t="s">
        <v>25</v>
      </c>
      <c r="F16" s="1">
        <v>0.5</v>
      </c>
      <c r="G16" s="1" t="s">
        <v>20</v>
      </c>
      <c r="H16" s="1">
        <v>1.0E-4</v>
      </c>
      <c r="I16" s="1">
        <v>15.0</v>
      </c>
      <c r="J16" s="1">
        <v>16.0</v>
      </c>
      <c r="K16" s="1">
        <v>66.6379310344827</v>
      </c>
      <c r="L16" s="1">
        <v>100.0</v>
      </c>
      <c r="M16" s="1">
        <v>0.89</v>
      </c>
      <c r="N16" s="1">
        <v>0.69</v>
      </c>
      <c r="O16" s="1">
        <v>0.78</v>
      </c>
      <c r="P16" s="1">
        <v>437.0</v>
      </c>
      <c r="Q16" s="1" t="s">
        <v>21</v>
      </c>
    </row>
    <row r="17">
      <c r="A17" s="1">
        <v>30.0</v>
      </c>
      <c r="B17" s="1" t="s">
        <v>17</v>
      </c>
      <c r="C17" s="1">
        <v>10147.0</v>
      </c>
      <c r="D17" s="1" t="s">
        <v>18</v>
      </c>
      <c r="E17" s="1" t="s">
        <v>25</v>
      </c>
      <c r="F17" s="1">
        <v>0.4</v>
      </c>
      <c r="G17" s="1" t="s">
        <v>34</v>
      </c>
      <c r="H17" s="1">
        <v>1.0E-4</v>
      </c>
      <c r="I17" s="1">
        <v>15.0</v>
      </c>
      <c r="J17" s="1">
        <v>16.0</v>
      </c>
      <c r="K17" s="1">
        <v>68.1773399014778</v>
      </c>
      <c r="L17" s="1">
        <v>100.0</v>
      </c>
      <c r="M17" s="1">
        <v>0.76</v>
      </c>
      <c r="N17" s="1">
        <v>0.78</v>
      </c>
      <c r="O17" s="1">
        <v>0.77</v>
      </c>
      <c r="P17" s="1">
        <v>290.0</v>
      </c>
      <c r="Q17" s="1" t="s">
        <v>21</v>
      </c>
    </row>
    <row r="18">
      <c r="A18" s="1">
        <v>29.0</v>
      </c>
      <c r="B18" s="1" t="s">
        <v>17</v>
      </c>
      <c r="C18" s="1">
        <v>10147.0</v>
      </c>
      <c r="D18" s="1" t="s">
        <v>18</v>
      </c>
      <c r="E18" s="1" t="s">
        <v>22</v>
      </c>
      <c r="F18" s="1">
        <v>0.3</v>
      </c>
      <c r="G18" s="1" t="s">
        <v>34</v>
      </c>
      <c r="H18" s="1">
        <v>1.0E-4</v>
      </c>
      <c r="I18" s="1">
        <v>15.0</v>
      </c>
      <c r="J18" s="1">
        <v>18.0</v>
      </c>
      <c r="K18" s="1">
        <v>67.1921182266009</v>
      </c>
      <c r="L18" s="1">
        <v>100.0</v>
      </c>
      <c r="M18" s="1">
        <v>0.76</v>
      </c>
      <c r="N18" s="1">
        <v>0.76</v>
      </c>
      <c r="O18" s="1">
        <v>0.76</v>
      </c>
      <c r="P18" s="1">
        <v>297.0</v>
      </c>
      <c r="Q18" s="1" t="s">
        <v>21</v>
      </c>
    </row>
    <row r="19">
      <c r="A19" s="1">
        <v>22.0</v>
      </c>
      <c r="B19" t="s">
        <v>17</v>
      </c>
      <c r="C19">
        <v>5798.0</v>
      </c>
      <c r="D19" t="s">
        <v>18</v>
      </c>
      <c r="E19" t="s">
        <v>22</v>
      </c>
      <c r="F19">
        <v>0.3</v>
      </c>
      <c r="G19" t="s">
        <v>20</v>
      </c>
      <c r="H19">
        <v>1.0E-4</v>
      </c>
      <c r="I19">
        <v>15.0</v>
      </c>
      <c r="J19">
        <v>16.0</v>
      </c>
      <c r="K19">
        <v>66.2068965517241</v>
      </c>
      <c r="L19">
        <v>1.0</v>
      </c>
      <c r="M19">
        <v>0.81</v>
      </c>
      <c r="N19">
        <v>0.72</v>
      </c>
      <c r="O19">
        <v>0.76</v>
      </c>
      <c r="P19">
        <v>193.0</v>
      </c>
      <c r="Q19" s="1" t="s">
        <v>21</v>
      </c>
    </row>
    <row r="20">
      <c r="A20" s="1">
        <v>18.0</v>
      </c>
      <c r="B20" t="s">
        <v>24</v>
      </c>
      <c r="C20">
        <v>5798.0</v>
      </c>
      <c r="D20" t="s">
        <v>18</v>
      </c>
      <c r="E20" t="s">
        <v>22</v>
      </c>
      <c r="F20">
        <v>0.3</v>
      </c>
      <c r="G20" t="s">
        <v>20</v>
      </c>
      <c r="H20">
        <v>1.0E-4</v>
      </c>
      <c r="I20">
        <v>15.0</v>
      </c>
      <c r="J20">
        <v>24.0</v>
      </c>
      <c r="K20">
        <v>66.551724137931</v>
      </c>
      <c r="L20">
        <v>1.0</v>
      </c>
      <c r="M20">
        <v>0.84</v>
      </c>
      <c r="N20">
        <v>0.69</v>
      </c>
      <c r="O20">
        <v>0.76</v>
      </c>
      <c r="P20">
        <v>207.0</v>
      </c>
      <c r="Q20" s="1" t="s">
        <v>21</v>
      </c>
    </row>
    <row r="21">
      <c r="A21" s="1">
        <v>26.0</v>
      </c>
      <c r="B21" s="1" t="s">
        <v>17</v>
      </c>
      <c r="C21" s="1">
        <v>10147.0</v>
      </c>
      <c r="D21" s="1" t="s">
        <v>35</v>
      </c>
      <c r="E21" s="1" t="s">
        <v>22</v>
      </c>
      <c r="F21" s="1">
        <v>0.5</v>
      </c>
      <c r="G21" s="1" t="s">
        <v>20</v>
      </c>
      <c r="H21" s="1">
        <v>1.0E-4</v>
      </c>
      <c r="I21" s="1">
        <v>15.0</v>
      </c>
      <c r="J21" s="1">
        <v>16.0</v>
      </c>
      <c r="K21" s="1">
        <v>66.6009852216748</v>
      </c>
      <c r="L21" s="1">
        <v>100.0</v>
      </c>
      <c r="M21" s="1">
        <v>0.81</v>
      </c>
      <c r="N21" s="1">
        <v>0.7</v>
      </c>
      <c r="O21" s="1">
        <v>0.75</v>
      </c>
      <c r="P21" s="1">
        <v>344.0</v>
      </c>
      <c r="Q21" s="1" t="s">
        <v>21</v>
      </c>
    </row>
    <row r="22">
      <c r="A22" s="1">
        <v>16.0</v>
      </c>
      <c r="B22" t="s">
        <v>24</v>
      </c>
      <c r="C22">
        <v>1450.0</v>
      </c>
      <c r="D22" t="s">
        <v>18</v>
      </c>
      <c r="E22" t="s">
        <v>26</v>
      </c>
      <c r="F22">
        <v>0.4</v>
      </c>
      <c r="G22" t="s">
        <v>20</v>
      </c>
      <c r="H22">
        <v>1.0E-4</v>
      </c>
      <c r="I22">
        <v>15.0</v>
      </c>
      <c r="J22">
        <v>24.0</v>
      </c>
      <c r="K22">
        <v>65.5172413793103</v>
      </c>
      <c r="L22">
        <v>1.0</v>
      </c>
      <c r="M22">
        <v>0.88</v>
      </c>
      <c r="N22">
        <v>0.64</v>
      </c>
      <c r="O22">
        <v>0.75</v>
      </c>
      <c r="P22">
        <v>59.0</v>
      </c>
      <c r="Q22" s="1" t="s">
        <v>21</v>
      </c>
    </row>
    <row r="23">
      <c r="A23" s="1">
        <v>27.0</v>
      </c>
      <c r="B23" s="1" t="s">
        <v>17</v>
      </c>
      <c r="C23" s="1">
        <v>10147.0</v>
      </c>
      <c r="D23" s="1" t="s">
        <v>35</v>
      </c>
      <c r="E23" s="1" t="s">
        <v>22</v>
      </c>
      <c r="F23" s="1">
        <v>0.5</v>
      </c>
      <c r="G23" s="1" t="s">
        <v>23</v>
      </c>
      <c r="H23" s="1">
        <v>1.0E-4</v>
      </c>
      <c r="I23" s="1">
        <v>15.0</v>
      </c>
      <c r="J23" s="1">
        <v>16.0</v>
      </c>
      <c r="K23" s="1">
        <v>65.7142857142857</v>
      </c>
      <c r="L23" s="1">
        <v>100.0</v>
      </c>
      <c r="M23" s="1">
        <v>0.75</v>
      </c>
      <c r="N23" s="1">
        <v>0.72</v>
      </c>
      <c r="O23" s="1">
        <v>0.74</v>
      </c>
      <c r="P23" s="1">
        <v>308.0</v>
      </c>
      <c r="Q23" s="1" t="s">
        <v>21</v>
      </c>
    </row>
    <row r="24">
      <c r="A24" s="1">
        <v>15.0</v>
      </c>
      <c r="B24" t="s">
        <v>24</v>
      </c>
      <c r="C24">
        <v>1450.0</v>
      </c>
      <c r="D24" t="s">
        <v>18</v>
      </c>
      <c r="E24" t="s">
        <v>22</v>
      </c>
      <c r="F24">
        <v>0.4</v>
      </c>
      <c r="G24" t="s">
        <v>20</v>
      </c>
      <c r="H24">
        <v>1.0E-4</v>
      </c>
      <c r="I24">
        <v>15.0</v>
      </c>
      <c r="J24">
        <v>24.0</v>
      </c>
      <c r="K24">
        <v>67.5862068965517</v>
      </c>
      <c r="L24">
        <v>1.0</v>
      </c>
      <c r="M24">
        <v>0.74</v>
      </c>
      <c r="N24">
        <v>0.71</v>
      </c>
      <c r="O24">
        <v>0.73</v>
      </c>
      <c r="P24">
        <v>45.0</v>
      </c>
      <c r="Q24" s="1" t="s">
        <v>21</v>
      </c>
    </row>
    <row r="25">
      <c r="A25" s="1">
        <v>23.0</v>
      </c>
      <c r="B25" t="s">
        <v>17</v>
      </c>
      <c r="C25">
        <v>8697.0</v>
      </c>
      <c r="D25" t="s">
        <v>18</v>
      </c>
      <c r="E25" t="s">
        <v>22</v>
      </c>
      <c r="F25">
        <v>0.3</v>
      </c>
      <c r="G25" t="s">
        <v>36</v>
      </c>
      <c r="H25">
        <v>1.0E-4</v>
      </c>
      <c r="I25">
        <v>15.0</v>
      </c>
      <c r="J25">
        <v>16.0</v>
      </c>
      <c r="K25">
        <v>62.5287356321839</v>
      </c>
      <c r="L25">
        <v>1.0</v>
      </c>
      <c r="M25">
        <v>0.8</v>
      </c>
      <c r="N25">
        <v>0.67</v>
      </c>
      <c r="O25">
        <v>0.73</v>
      </c>
      <c r="P25">
        <v>309.0</v>
      </c>
      <c r="Q25" s="1" t="s">
        <v>21</v>
      </c>
    </row>
    <row r="26">
      <c r="A26" s="1">
        <v>30.0</v>
      </c>
      <c r="B26" s="1" t="s">
        <v>17</v>
      </c>
      <c r="C26" s="1">
        <v>10147.0</v>
      </c>
      <c r="D26" s="1" t="s">
        <v>18</v>
      </c>
      <c r="E26" s="1" t="s">
        <v>26</v>
      </c>
      <c r="F26" s="1">
        <v>0.4</v>
      </c>
      <c r="G26" s="1" t="s">
        <v>34</v>
      </c>
      <c r="H26" s="1">
        <v>1.0E-4</v>
      </c>
      <c r="I26" s="1">
        <v>15.0</v>
      </c>
      <c r="J26" s="1">
        <v>16.0</v>
      </c>
      <c r="K26" s="1">
        <v>68.1773399014778</v>
      </c>
      <c r="L26" s="1">
        <v>100.0</v>
      </c>
      <c r="M26" s="1">
        <v>0.75</v>
      </c>
      <c r="N26" s="1">
        <v>0.67</v>
      </c>
      <c r="O26" s="1">
        <v>0.71</v>
      </c>
      <c r="P26" s="1">
        <v>354.0</v>
      </c>
      <c r="Q26" s="1" t="s">
        <v>32</v>
      </c>
    </row>
    <row r="27">
      <c r="A27" s="1">
        <v>35.0</v>
      </c>
      <c r="B27" s="1" t="s">
        <v>17</v>
      </c>
      <c r="C27" s="1">
        <v>10147.0</v>
      </c>
      <c r="D27" s="1" t="s">
        <v>33</v>
      </c>
      <c r="E27" s="1" t="s">
        <v>30</v>
      </c>
      <c r="F27" s="1">
        <v>0.45</v>
      </c>
      <c r="G27" s="1" t="s">
        <v>20</v>
      </c>
      <c r="H27" s="1">
        <v>1.0E-4</v>
      </c>
      <c r="I27" s="1">
        <v>15.0</v>
      </c>
      <c r="J27" s="1">
        <v>16.0</v>
      </c>
      <c r="K27" s="1">
        <v>69.1625615763546</v>
      </c>
      <c r="L27" s="1">
        <v>100.0</v>
      </c>
      <c r="M27" s="1">
        <v>0.69</v>
      </c>
      <c r="N27" s="1">
        <v>0.7</v>
      </c>
      <c r="O27" s="1">
        <v>0.7</v>
      </c>
      <c r="P27" s="1">
        <v>308.0</v>
      </c>
      <c r="Q27" s="1" t="s">
        <v>32</v>
      </c>
    </row>
    <row r="28">
      <c r="A28" s="1">
        <v>17.0</v>
      </c>
      <c r="B28" t="s">
        <v>24</v>
      </c>
      <c r="C28">
        <v>5798.0</v>
      </c>
      <c r="D28" t="s">
        <v>18</v>
      </c>
      <c r="E28" t="s">
        <v>26</v>
      </c>
      <c r="F28">
        <v>0.25</v>
      </c>
      <c r="G28" t="s">
        <v>20</v>
      </c>
      <c r="H28">
        <v>1.0E-4</v>
      </c>
      <c r="I28">
        <v>15.0</v>
      </c>
      <c r="J28">
        <v>24.0</v>
      </c>
      <c r="K28">
        <v>68.103448275862</v>
      </c>
      <c r="L28">
        <v>1.0</v>
      </c>
      <c r="M28">
        <v>0.75</v>
      </c>
      <c r="N28">
        <v>0.66</v>
      </c>
      <c r="O28">
        <v>0.7</v>
      </c>
      <c r="P28">
        <v>203.0</v>
      </c>
      <c r="Q28" s="1" t="s">
        <v>32</v>
      </c>
    </row>
    <row r="29">
      <c r="A29" s="1">
        <v>15.0</v>
      </c>
      <c r="B29" t="s">
        <v>24</v>
      </c>
      <c r="C29">
        <v>1450.0</v>
      </c>
      <c r="D29" t="s">
        <v>18</v>
      </c>
      <c r="E29" t="s">
        <v>22</v>
      </c>
      <c r="F29">
        <v>0.4</v>
      </c>
      <c r="G29" t="s">
        <v>20</v>
      </c>
      <c r="H29">
        <v>1.0E-4</v>
      </c>
      <c r="I29">
        <v>15.0</v>
      </c>
      <c r="J29">
        <v>24.0</v>
      </c>
      <c r="K29">
        <v>67.5862068965517</v>
      </c>
      <c r="L29">
        <v>1.0</v>
      </c>
      <c r="M29">
        <v>0.67</v>
      </c>
      <c r="N29">
        <v>0.71</v>
      </c>
      <c r="O29">
        <v>0.69</v>
      </c>
      <c r="P29">
        <v>42.0</v>
      </c>
      <c r="Q29" s="1" t="s">
        <v>32</v>
      </c>
    </row>
    <row r="30">
      <c r="A30" s="1">
        <v>24.0</v>
      </c>
      <c r="B30" s="1" t="s">
        <v>17</v>
      </c>
      <c r="C30" s="1">
        <v>7248.0</v>
      </c>
      <c r="D30" s="1" t="s">
        <v>18</v>
      </c>
      <c r="E30" s="1" t="s">
        <v>22</v>
      </c>
      <c r="F30" s="1">
        <v>0.4</v>
      </c>
      <c r="G30" s="1" t="s">
        <v>23</v>
      </c>
      <c r="H30" s="1">
        <v>1.0E-4</v>
      </c>
      <c r="I30" s="1">
        <v>15.0</v>
      </c>
      <c r="J30" s="1">
        <v>16.0</v>
      </c>
      <c r="K30" s="1">
        <v>70.2068965517241</v>
      </c>
      <c r="L30" s="1">
        <v>100.0</v>
      </c>
      <c r="M30">
        <v>0.68</v>
      </c>
      <c r="N30">
        <v>0.7</v>
      </c>
      <c r="O30">
        <v>0.69</v>
      </c>
      <c r="P30">
        <v>217.0</v>
      </c>
      <c r="Q30" s="1" t="s">
        <v>32</v>
      </c>
    </row>
    <row r="31">
      <c r="A31" s="1">
        <v>36.0</v>
      </c>
      <c r="B31" s="1" t="s">
        <v>24</v>
      </c>
      <c r="C31" s="1">
        <v>11596.0</v>
      </c>
      <c r="D31" s="1" t="s">
        <v>18</v>
      </c>
      <c r="E31" s="1" t="s">
        <v>26</v>
      </c>
      <c r="F31" s="1">
        <v>0.45</v>
      </c>
      <c r="G31" s="1" t="s">
        <v>20</v>
      </c>
      <c r="H31" s="1">
        <v>1.0E-4</v>
      </c>
      <c r="I31" s="1">
        <v>15.0</v>
      </c>
      <c r="J31" s="1">
        <v>16.0</v>
      </c>
      <c r="K31" s="1">
        <v>69.4827586206896</v>
      </c>
      <c r="L31" s="1">
        <v>100.0</v>
      </c>
      <c r="M31" s="1">
        <v>0.71</v>
      </c>
      <c r="N31" s="1">
        <v>0.67</v>
      </c>
      <c r="O31" s="1">
        <v>0.69</v>
      </c>
      <c r="P31" s="1">
        <v>380.0</v>
      </c>
      <c r="Q31" s="1" t="s">
        <v>32</v>
      </c>
    </row>
    <row r="32">
      <c r="A32" s="1">
        <v>37.0</v>
      </c>
      <c r="B32" s="1" t="s">
        <v>24</v>
      </c>
      <c r="C32" s="1">
        <v>11596.0</v>
      </c>
      <c r="D32" s="1" t="s">
        <v>18</v>
      </c>
      <c r="E32" s="1" t="s">
        <v>40</v>
      </c>
      <c r="F32" s="1">
        <v>0.45</v>
      </c>
      <c r="G32" s="1" t="s">
        <v>20</v>
      </c>
      <c r="H32" s="1">
        <v>1.0E-4</v>
      </c>
      <c r="I32" s="1">
        <v>15.0</v>
      </c>
      <c r="J32" s="1">
        <v>16.0</v>
      </c>
      <c r="K32" s="1">
        <v>68.3620689655172</v>
      </c>
      <c r="L32" s="1">
        <v>100.0</v>
      </c>
      <c r="M32" s="1">
        <v>0.71</v>
      </c>
      <c r="N32" s="1">
        <v>0.66</v>
      </c>
      <c r="O32" s="1">
        <v>0.69</v>
      </c>
      <c r="P32">
        <v>388.0</v>
      </c>
      <c r="Q32" s="1" t="s">
        <v>29</v>
      </c>
    </row>
    <row r="33">
      <c r="A33" s="1">
        <v>39.0</v>
      </c>
      <c r="B33" s="1" t="s">
        <v>24</v>
      </c>
      <c r="C33" s="1">
        <v>11596.0</v>
      </c>
      <c r="D33" s="1" t="s">
        <v>18</v>
      </c>
      <c r="E33" s="1" t="s">
        <v>30</v>
      </c>
      <c r="F33" s="1">
        <v>0.45</v>
      </c>
      <c r="G33" s="1" t="s">
        <v>20</v>
      </c>
      <c r="H33" s="1">
        <v>1.0E-4</v>
      </c>
      <c r="I33" s="1">
        <v>15.0</v>
      </c>
      <c r="J33" s="1">
        <v>16.0</v>
      </c>
      <c r="K33" s="1">
        <v>68.2758620689655</v>
      </c>
      <c r="L33" s="1">
        <v>100.0</v>
      </c>
      <c r="M33" s="1">
        <v>0.73</v>
      </c>
      <c r="N33" s="1">
        <v>0.66</v>
      </c>
      <c r="O33" s="1">
        <v>0.69</v>
      </c>
      <c r="P33" s="1">
        <v>398.0</v>
      </c>
      <c r="Q33" s="1" t="s">
        <v>29</v>
      </c>
    </row>
    <row r="34">
      <c r="A34" s="1">
        <v>16.0</v>
      </c>
      <c r="B34" t="s">
        <v>24</v>
      </c>
      <c r="C34">
        <v>1450.0</v>
      </c>
      <c r="D34" t="s">
        <v>18</v>
      </c>
      <c r="E34" t="s">
        <v>26</v>
      </c>
      <c r="F34">
        <v>0.4</v>
      </c>
      <c r="G34" t="s">
        <v>20</v>
      </c>
      <c r="H34">
        <v>1.0E-4</v>
      </c>
      <c r="I34">
        <v>15.0</v>
      </c>
      <c r="J34">
        <v>24.0</v>
      </c>
      <c r="K34">
        <v>65.5172413793103</v>
      </c>
      <c r="L34">
        <v>1.0</v>
      </c>
      <c r="M34">
        <v>0.73</v>
      </c>
      <c r="N34">
        <v>0.66</v>
      </c>
      <c r="O34">
        <v>0.69</v>
      </c>
      <c r="P34">
        <v>50.0</v>
      </c>
      <c r="Q34" s="1" t="s">
        <v>32</v>
      </c>
    </row>
    <row r="35">
      <c r="A35" s="1">
        <v>28.0</v>
      </c>
      <c r="B35" s="1" t="s">
        <v>17</v>
      </c>
      <c r="C35" s="1">
        <v>10147.0</v>
      </c>
      <c r="D35" s="1" t="s">
        <v>18</v>
      </c>
      <c r="E35" s="1" t="s">
        <v>22</v>
      </c>
      <c r="F35" s="1">
        <v>0.35</v>
      </c>
      <c r="G35" s="1" t="s">
        <v>20</v>
      </c>
      <c r="H35" s="1">
        <v>1.0E-4</v>
      </c>
      <c r="I35" s="1">
        <v>15.0</v>
      </c>
      <c r="J35" s="1">
        <v>15.0</v>
      </c>
      <c r="K35" s="1">
        <v>68.3743842364532</v>
      </c>
      <c r="L35" s="1">
        <v>100.0</v>
      </c>
      <c r="M35" s="1">
        <v>0.67</v>
      </c>
      <c r="N35" s="1">
        <v>0.69</v>
      </c>
      <c r="O35" s="1">
        <v>0.68</v>
      </c>
      <c r="P35" s="1">
        <v>306.0</v>
      </c>
      <c r="Q35" s="1" t="s">
        <v>32</v>
      </c>
    </row>
    <row r="36">
      <c r="A36" s="1">
        <v>33.0</v>
      </c>
      <c r="B36" s="1" t="s">
        <v>17</v>
      </c>
      <c r="C36" s="1">
        <v>10147.0</v>
      </c>
      <c r="D36" s="1" t="s">
        <v>18</v>
      </c>
      <c r="E36" s="1" t="s">
        <v>22</v>
      </c>
      <c r="F36" s="1">
        <v>0.4</v>
      </c>
      <c r="G36" s="1" t="s">
        <v>20</v>
      </c>
      <c r="H36" s="1">
        <v>1.0E-4</v>
      </c>
      <c r="I36" s="1">
        <v>15.0</v>
      </c>
      <c r="J36" s="1">
        <v>16.0</v>
      </c>
      <c r="K36" s="1">
        <v>68.2758620689655</v>
      </c>
      <c r="L36" s="1">
        <v>100.0</v>
      </c>
      <c r="M36" s="1">
        <v>0.67</v>
      </c>
      <c r="N36" s="1">
        <v>0.69</v>
      </c>
      <c r="O36" s="1">
        <v>0.68</v>
      </c>
      <c r="P36" s="1">
        <v>304.0</v>
      </c>
      <c r="Q36" s="1" t="s">
        <v>32</v>
      </c>
    </row>
    <row r="37">
      <c r="A37" s="1">
        <v>18.0</v>
      </c>
      <c r="B37" t="s">
        <v>24</v>
      </c>
      <c r="C37">
        <v>5798.0</v>
      </c>
      <c r="D37" t="s">
        <v>18</v>
      </c>
      <c r="E37" t="s">
        <v>22</v>
      </c>
      <c r="F37">
        <v>0.3</v>
      </c>
      <c r="G37" t="s">
        <v>20</v>
      </c>
      <c r="H37">
        <v>1.0E-4</v>
      </c>
      <c r="I37">
        <v>15.0</v>
      </c>
      <c r="J37">
        <v>24.0</v>
      </c>
      <c r="K37">
        <v>66.551724137931</v>
      </c>
      <c r="L37">
        <v>1.0</v>
      </c>
      <c r="M37">
        <v>0.69</v>
      </c>
      <c r="N37">
        <v>0.67</v>
      </c>
      <c r="O37">
        <v>0.68</v>
      </c>
      <c r="P37">
        <v>185.0</v>
      </c>
      <c r="Q37" s="1" t="s">
        <v>32</v>
      </c>
    </row>
    <row r="38">
      <c r="A38" s="1">
        <v>21.0</v>
      </c>
      <c r="B38" t="s">
        <v>17</v>
      </c>
      <c r="C38">
        <v>5798.0</v>
      </c>
      <c r="D38" t="s">
        <v>18</v>
      </c>
      <c r="E38" t="s">
        <v>22</v>
      </c>
      <c r="F38">
        <v>0.3</v>
      </c>
      <c r="G38" t="s">
        <v>20</v>
      </c>
      <c r="H38">
        <v>1.0E-4</v>
      </c>
      <c r="I38">
        <v>20.0</v>
      </c>
      <c r="J38">
        <v>10.0</v>
      </c>
      <c r="K38">
        <v>67.9310344827586</v>
      </c>
      <c r="L38">
        <v>1.0</v>
      </c>
      <c r="M38">
        <v>0.71</v>
      </c>
      <c r="N38">
        <v>0.66</v>
      </c>
      <c r="O38">
        <v>0.68</v>
      </c>
      <c r="P38">
        <v>193.0</v>
      </c>
      <c r="Q38" s="1" t="s">
        <v>32</v>
      </c>
    </row>
    <row r="39">
      <c r="A39" s="1">
        <v>34.0</v>
      </c>
      <c r="B39" s="1" t="s">
        <v>17</v>
      </c>
      <c r="C39" s="1">
        <v>11596.0</v>
      </c>
      <c r="D39" s="1" t="s">
        <v>18</v>
      </c>
      <c r="E39" s="1" t="s">
        <v>26</v>
      </c>
      <c r="F39" s="1">
        <v>0.5</v>
      </c>
      <c r="G39" s="1" t="s">
        <v>20</v>
      </c>
      <c r="H39" s="1">
        <v>1.0E-4</v>
      </c>
      <c r="I39" s="1">
        <v>15.0</v>
      </c>
      <c r="J39" s="1">
        <v>16.0</v>
      </c>
      <c r="K39" s="1">
        <v>66.6379310344827</v>
      </c>
      <c r="L39" s="1">
        <v>100.0</v>
      </c>
      <c r="M39" s="1">
        <v>0.74</v>
      </c>
      <c r="N39" s="1">
        <v>0.63</v>
      </c>
      <c r="O39" s="1">
        <v>0.68</v>
      </c>
      <c r="P39" s="1">
        <v>420.0</v>
      </c>
      <c r="Q39" s="1" t="s">
        <v>32</v>
      </c>
    </row>
    <row r="40">
      <c r="A40" s="1">
        <v>38.0</v>
      </c>
      <c r="B40" s="1" t="s">
        <v>24</v>
      </c>
      <c r="C40" s="1">
        <v>11596.0</v>
      </c>
      <c r="D40" s="1" t="s">
        <v>18</v>
      </c>
      <c r="E40" s="1" t="s">
        <v>22</v>
      </c>
      <c r="F40" s="1">
        <v>0.45</v>
      </c>
      <c r="G40" s="1" t="s">
        <v>20</v>
      </c>
      <c r="H40" s="1">
        <v>1.0E-4</v>
      </c>
      <c r="I40" s="1">
        <v>15.0</v>
      </c>
      <c r="J40" s="1">
        <v>16.0</v>
      </c>
      <c r="K40" s="1">
        <v>68.1896551724138</v>
      </c>
      <c r="L40" s="1">
        <v>100.0</v>
      </c>
      <c r="M40" s="1">
        <v>0.66</v>
      </c>
      <c r="N40" s="1">
        <v>0.68</v>
      </c>
      <c r="O40" s="1">
        <v>0.67</v>
      </c>
      <c r="P40" s="1">
        <v>350.0</v>
      </c>
      <c r="Q40" s="1" t="s">
        <v>29</v>
      </c>
    </row>
    <row r="41">
      <c r="A41" s="1">
        <v>31.0</v>
      </c>
      <c r="B41" s="1" t="s">
        <v>17</v>
      </c>
      <c r="C41" s="1">
        <v>10147.0</v>
      </c>
      <c r="D41" s="1" t="s">
        <v>18</v>
      </c>
      <c r="E41" s="5" t="s">
        <v>26</v>
      </c>
      <c r="F41" s="1">
        <v>0.4</v>
      </c>
      <c r="G41" s="1" t="s">
        <v>20</v>
      </c>
      <c r="H41" s="1">
        <v>1.0E-4</v>
      </c>
      <c r="I41" s="1">
        <v>15.0</v>
      </c>
      <c r="J41" s="1">
        <v>16.0</v>
      </c>
      <c r="K41" s="1">
        <v>70.5418719211822</v>
      </c>
      <c r="L41" s="1">
        <v>100.0</v>
      </c>
      <c r="M41" s="1">
        <v>0.71</v>
      </c>
      <c r="N41" s="1">
        <v>0.63</v>
      </c>
      <c r="O41" s="1">
        <v>0.67</v>
      </c>
      <c r="P41" s="1">
        <v>458.0</v>
      </c>
      <c r="Q41" s="1" t="s">
        <v>29</v>
      </c>
    </row>
    <row r="42">
      <c r="A42" s="1">
        <v>31.0</v>
      </c>
      <c r="B42" s="1" t="s">
        <v>17</v>
      </c>
      <c r="C42" s="1">
        <v>10147.0</v>
      </c>
      <c r="D42" s="1" t="s">
        <v>18</v>
      </c>
      <c r="E42" s="1" t="s">
        <v>26</v>
      </c>
      <c r="F42" s="1">
        <v>0.4</v>
      </c>
      <c r="G42" s="1" t="s">
        <v>20</v>
      </c>
      <c r="H42" s="1">
        <v>1.0E-4</v>
      </c>
      <c r="I42" s="1">
        <v>15.0</v>
      </c>
      <c r="J42" s="1">
        <v>16.0</v>
      </c>
      <c r="K42" s="1">
        <v>70.5418719211822</v>
      </c>
      <c r="L42" s="1">
        <v>100.0</v>
      </c>
      <c r="M42" s="1">
        <v>0.58</v>
      </c>
      <c r="N42" s="1">
        <v>0.78</v>
      </c>
      <c r="O42" s="1">
        <v>0.66</v>
      </c>
      <c r="P42" s="1">
        <v>231.0</v>
      </c>
      <c r="Q42" s="1" t="s">
        <v>32</v>
      </c>
    </row>
    <row r="43">
      <c r="A43" s="1">
        <v>25.0</v>
      </c>
      <c r="B43" s="1" t="s">
        <v>17</v>
      </c>
      <c r="C43" s="1">
        <v>7248.0</v>
      </c>
      <c r="D43" s="1" t="s">
        <v>18</v>
      </c>
      <c r="E43" s="1" t="s">
        <v>22</v>
      </c>
      <c r="F43" s="1">
        <v>0.5</v>
      </c>
      <c r="G43" s="1" t="s">
        <v>23</v>
      </c>
      <c r="H43" s="1">
        <v>1.0E-4</v>
      </c>
      <c r="I43" s="1">
        <v>15.0</v>
      </c>
      <c r="J43" s="1">
        <v>12.0</v>
      </c>
      <c r="K43" s="1">
        <v>68.9655172413793</v>
      </c>
      <c r="L43" s="1">
        <v>255.0</v>
      </c>
      <c r="M43">
        <v>0.6</v>
      </c>
      <c r="N43">
        <v>0.73</v>
      </c>
      <c r="O43">
        <v>0.66</v>
      </c>
      <c r="P43">
        <v>184.0</v>
      </c>
      <c r="Q43" s="1" t="s">
        <v>32</v>
      </c>
    </row>
    <row r="44">
      <c r="A44" s="1">
        <v>19.0</v>
      </c>
      <c r="B44" t="s">
        <v>17</v>
      </c>
      <c r="C44">
        <v>5798.0</v>
      </c>
      <c r="D44" t="s">
        <v>18</v>
      </c>
      <c r="E44" t="s">
        <v>22</v>
      </c>
      <c r="F44">
        <v>0.3</v>
      </c>
      <c r="G44" t="s">
        <v>20</v>
      </c>
      <c r="H44">
        <v>1.0E-4</v>
      </c>
      <c r="I44">
        <v>15.0</v>
      </c>
      <c r="J44">
        <v>16.0</v>
      </c>
      <c r="K44">
        <v>69.8275862068965</v>
      </c>
      <c r="L44">
        <v>1.0</v>
      </c>
      <c r="M44">
        <v>0.61</v>
      </c>
      <c r="N44">
        <v>0.72</v>
      </c>
      <c r="O44">
        <v>0.66</v>
      </c>
      <c r="P44">
        <v>151.0</v>
      </c>
      <c r="Q44" s="1" t="s">
        <v>32</v>
      </c>
    </row>
    <row r="45">
      <c r="A45" s="1">
        <v>20.0</v>
      </c>
      <c r="B45" t="s">
        <v>17</v>
      </c>
      <c r="C45">
        <v>5798.0</v>
      </c>
      <c r="D45" t="s">
        <v>18</v>
      </c>
      <c r="E45" t="s">
        <v>22</v>
      </c>
      <c r="F45">
        <v>0.3</v>
      </c>
      <c r="G45" t="s">
        <v>20</v>
      </c>
      <c r="H45">
        <v>1.0E-4</v>
      </c>
      <c r="I45">
        <v>10.0</v>
      </c>
      <c r="J45">
        <v>24.0</v>
      </c>
      <c r="K45">
        <v>66.3793103448275</v>
      </c>
      <c r="L45">
        <v>1.0</v>
      </c>
      <c r="M45">
        <v>0.66</v>
      </c>
      <c r="N45">
        <v>0.66</v>
      </c>
      <c r="O45">
        <v>0.66</v>
      </c>
      <c r="P45">
        <v>181.0</v>
      </c>
      <c r="Q45" s="1" t="s">
        <v>32</v>
      </c>
    </row>
    <row r="46">
      <c r="A46" s="1">
        <v>32.0</v>
      </c>
      <c r="B46" s="1" t="s">
        <v>17</v>
      </c>
      <c r="C46" s="1">
        <v>10147.0</v>
      </c>
      <c r="D46" s="1" t="s">
        <v>18</v>
      </c>
      <c r="E46" s="1" t="s">
        <v>40</v>
      </c>
      <c r="F46" s="1">
        <v>0.4</v>
      </c>
      <c r="G46" s="1" t="s">
        <v>20</v>
      </c>
      <c r="H46" s="1">
        <v>1.0E-4</v>
      </c>
      <c r="I46" s="1">
        <v>15.0</v>
      </c>
      <c r="J46" s="1">
        <v>16.0</v>
      </c>
      <c r="K46" s="1">
        <v>69.9507389162561</v>
      </c>
      <c r="L46" s="1">
        <v>100.0</v>
      </c>
      <c r="M46" s="1">
        <v>0.58</v>
      </c>
      <c r="N46" s="1">
        <v>0.75</v>
      </c>
      <c r="O46" s="1">
        <v>0.65</v>
      </c>
      <c r="P46" s="1">
        <v>245.0</v>
      </c>
      <c r="Q46" s="1" t="s">
        <v>32</v>
      </c>
    </row>
    <row r="47">
      <c r="A47" s="1">
        <v>26.0</v>
      </c>
      <c r="B47" s="1" t="s">
        <v>17</v>
      </c>
      <c r="C47" s="1">
        <v>10147.0</v>
      </c>
      <c r="D47" s="1" t="s">
        <v>35</v>
      </c>
      <c r="E47" s="1" t="s">
        <v>22</v>
      </c>
      <c r="F47" s="1">
        <v>0.5</v>
      </c>
      <c r="G47" s="1" t="s">
        <v>20</v>
      </c>
      <c r="H47" s="1">
        <v>1.0E-4</v>
      </c>
      <c r="I47" s="1">
        <v>15.0</v>
      </c>
      <c r="J47" s="1">
        <v>16.0</v>
      </c>
      <c r="K47" s="1">
        <v>66.6009852216748</v>
      </c>
      <c r="L47" s="1">
        <v>100.0</v>
      </c>
      <c r="M47" s="1">
        <v>0.59</v>
      </c>
      <c r="N47" s="1">
        <v>0.74</v>
      </c>
      <c r="O47" s="1">
        <v>0.65</v>
      </c>
      <c r="P47" s="1">
        <v>250.0</v>
      </c>
      <c r="Q47" s="1" t="s">
        <v>32</v>
      </c>
    </row>
    <row r="48">
      <c r="A48" s="1">
        <v>22.0</v>
      </c>
      <c r="B48" t="s">
        <v>17</v>
      </c>
      <c r="C48">
        <v>5798.0</v>
      </c>
      <c r="D48" t="s">
        <v>18</v>
      </c>
      <c r="E48" t="s">
        <v>22</v>
      </c>
      <c r="F48">
        <v>0.3</v>
      </c>
      <c r="G48" t="s">
        <v>20</v>
      </c>
      <c r="H48">
        <v>1.0E-4</v>
      </c>
      <c r="I48">
        <v>15.0</v>
      </c>
      <c r="J48">
        <v>16.0</v>
      </c>
      <c r="K48">
        <v>66.2068965517241</v>
      </c>
      <c r="L48">
        <v>1.0</v>
      </c>
      <c r="M48">
        <v>0.61</v>
      </c>
      <c r="N48">
        <v>0.69</v>
      </c>
      <c r="O48">
        <v>0.65</v>
      </c>
      <c r="P48">
        <v>158.0</v>
      </c>
      <c r="Q48" s="1" t="s">
        <v>32</v>
      </c>
    </row>
    <row r="49">
      <c r="A49" s="1">
        <v>19.0</v>
      </c>
      <c r="B49" t="s">
        <v>17</v>
      </c>
      <c r="C49">
        <v>5798.0</v>
      </c>
      <c r="D49" t="s">
        <v>18</v>
      </c>
      <c r="E49" t="s">
        <v>22</v>
      </c>
      <c r="F49">
        <v>0.3</v>
      </c>
      <c r="G49" t="s">
        <v>20</v>
      </c>
      <c r="H49">
        <v>1.0E-4</v>
      </c>
      <c r="I49">
        <v>15.0</v>
      </c>
      <c r="J49">
        <v>16.0</v>
      </c>
      <c r="K49">
        <v>69.8275862068965</v>
      </c>
      <c r="L49">
        <v>1.0</v>
      </c>
      <c r="M49">
        <v>0.65</v>
      </c>
      <c r="N49">
        <v>0.65</v>
      </c>
      <c r="O49">
        <v>0.65</v>
      </c>
      <c r="P49">
        <v>232.0</v>
      </c>
      <c r="Q49" s="1" t="s">
        <v>29</v>
      </c>
    </row>
    <row r="50">
      <c r="A50" s="1">
        <v>32.0</v>
      </c>
      <c r="B50" s="1" t="s">
        <v>17</v>
      </c>
      <c r="C50" s="1">
        <v>10147.0</v>
      </c>
      <c r="D50" s="1" t="s">
        <v>18</v>
      </c>
      <c r="E50" s="1" t="s">
        <v>46</v>
      </c>
      <c r="F50" s="1">
        <v>0.4</v>
      </c>
      <c r="G50" s="1" t="s">
        <v>20</v>
      </c>
      <c r="H50" s="1">
        <v>1.0E-4</v>
      </c>
      <c r="I50" s="1">
        <v>15.0</v>
      </c>
      <c r="J50" s="1">
        <v>16.0</v>
      </c>
      <c r="K50" s="1">
        <v>69.9507389162561</v>
      </c>
      <c r="L50" s="1">
        <v>100.0</v>
      </c>
      <c r="M50" s="1">
        <v>0.66</v>
      </c>
      <c r="N50" s="1">
        <v>0.64</v>
      </c>
      <c r="O50" s="1">
        <v>0.65</v>
      </c>
      <c r="P50" s="1">
        <v>415.0</v>
      </c>
      <c r="Q50" s="1" t="s">
        <v>29</v>
      </c>
    </row>
    <row r="51">
      <c r="A51" s="1">
        <v>5.0</v>
      </c>
      <c r="B51" t="s">
        <v>27</v>
      </c>
      <c r="C51">
        <v>290.0</v>
      </c>
      <c r="D51" t="s">
        <v>18</v>
      </c>
      <c r="E51" t="s">
        <v>26</v>
      </c>
      <c r="F51">
        <v>0.2</v>
      </c>
      <c r="G51" t="s">
        <v>20</v>
      </c>
      <c r="H51">
        <v>1.0E-4</v>
      </c>
      <c r="I51">
        <v>20.0</v>
      </c>
      <c r="J51">
        <v>8.0</v>
      </c>
      <c r="K51">
        <v>55.1724137931034</v>
      </c>
      <c r="L51" s="1">
        <v>1.0</v>
      </c>
      <c r="M51">
        <v>0.71</v>
      </c>
      <c r="N51">
        <v>0.6</v>
      </c>
      <c r="O51">
        <v>0.65</v>
      </c>
      <c r="P51">
        <v>20.0</v>
      </c>
      <c r="Q51" s="1" t="s">
        <v>21</v>
      </c>
    </row>
    <row r="52">
      <c r="A52" s="1">
        <v>29.0</v>
      </c>
      <c r="B52" s="1" t="s">
        <v>17</v>
      </c>
      <c r="C52" s="1">
        <v>10147.0</v>
      </c>
      <c r="D52" s="1" t="s">
        <v>18</v>
      </c>
      <c r="E52" s="1" t="s">
        <v>22</v>
      </c>
      <c r="F52" s="1">
        <v>0.3</v>
      </c>
      <c r="G52" s="1" t="s">
        <v>34</v>
      </c>
      <c r="H52" s="1">
        <v>1.0E-4</v>
      </c>
      <c r="I52" s="1">
        <v>15.0</v>
      </c>
      <c r="J52" s="1">
        <v>18.0</v>
      </c>
      <c r="K52" s="1">
        <v>67.1921182266009</v>
      </c>
      <c r="L52" s="1">
        <v>100.0</v>
      </c>
      <c r="M52" s="1">
        <v>0.74</v>
      </c>
      <c r="N52" s="1">
        <v>0.58</v>
      </c>
      <c r="O52" s="1">
        <v>0.65</v>
      </c>
      <c r="P52" s="1">
        <v>521.0</v>
      </c>
      <c r="Q52" s="1" t="s">
        <v>29</v>
      </c>
    </row>
    <row r="53">
      <c r="A53" s="1">
        <v>27.0</v>
      </c>
      <c r="B53" s="1" t="s">
        <v>17</v>
      </c>
      <c r="C53" s="1">
        <v>10147.0</v>
      </c>
      <c r="D53" s="1" t="s">
        <v>35</v>
      </c>
      <c r="E53" s="1" t="s">
        <v>22</v>
      </c>
      <c r="F53" s="1">
        <v>0.5</v>
      </c>
      <c r="G53" s="1" t="s">
        <v>23</v>
      </c>
      <c r="H53" s="1">
        <v>1.0E-4</v>
      </c>
      <c r="I53" s="1">
        <v>15.0</v>
      </c>
      <c r="J53" s="1">
        <v>16.0</v>
      </c>
      <c r="K53" s="1">
        <v>65.7142857142857</v>
      </c>
      <c r="L53" s="1">
        <v>100.0</v>
      </c>
      <c r="M53" s="1">
        <v>0.57</v>
      </c>
      <c r="N53" s="1">
        <v>0.73</v>
      </c>
      <c r="O53" s="1">
        <v>0.64</v>
      </c>
      <c r="P53" s="1">
        <v>248.0</v>
      </c>
      <c r="Q53" s="1" t="s">
        <v>32</v>
      </c>
    </row>
    <row r="54">
      <c r="A54" s="1">
        <v>24.0</v>
      </c>
      <c r="B54" s="1" t="s">
        <v>17</v>
      </c>
      <c r="C54" s="1">
        <v>7248.0</v>
      </c>
      <c r="D54" s="1" t="s">
        <v>18</v>
      </c>
      <c r="E54" s="1" t="s">
        <v>22</v>
      </c>
      <c r="F54" s="1">
        <v>0.4</v>
      </c>
      <c r="G54" s="1" t="s">
        <v>23</v>
      </c>
      <c r="H54" s="1">
        <v>1.0E-4</v>
      </c>
      <c r="I54" s="1">
        <v>15.0</v>
      </c>
      <c r="J54" s="1">
        <v>16.0</v>
      </c>
      <c r="K54" s="1">
        <v>70.2068965517241</v>
      </c>
      <c r="L54" s="1">
        <v>100.0</v>
      </c>
      <c r="M54">
        <v>0.65</v>
      </c>
      <c r="N54">
        <v>0.63</v>
      </c>
      <c r="O54">
        <v>0.64</v>
      </c>
      <c r="P54">
        <v>300.0</v>
      </c>
      <c r="Q54" s="1" t="s">
        <v>29</v>
      </c>
    </row>
    <row r="55">
      <c r="A55" s="1">
        <v>25.0</v>
      </c>
      <c r="B55" s="1" t="s">
        <v>17</v>
      </c>
      <c r="C55" s="1">
        <v>7248.0</v>
      </c>
      <c r="D55" s="1" t="s">
        <v>18</v>
      </c>
      <c r="E55" s="1" t="s">
        <v>22</v>
      </c>
      <c r="F55" s="1">
        <v>0.5</v>
      </c>
      <c r="G55" s="1" t="s">
        <v>23</v>
      </c>
      <c r="H55" s="1">
        <v>1.0E-4</v>
      </c>
      <c r="I55" s="1">
        <v>15.0</v>
      </c>
      <c r="J55" s="1">
        <v>12.0</v>
      </c>
      <c r="K55" s="1">
        <v>68.9655172413793</v>
      </c>
      <c r="L55" s="1">
        <v>255.0</v>
      </c>
      <c r="M55">
        <v>0.66</v>
      </c>
      <c r="N55">
        <v>0.61</v>
      </c>
      <c r="O55">
        <v>0.64</v>
      </c>
      <c r="P55">
        <v>310.0</v>
      </c>
      <c r="Q55" s="1" t="s">
        <v>29</v>
      </c>
    </row>
    <row r="56">
      <c r="A56" s="1">
        <v>23.0</v>
      </c>
      <c r="B56" t="s">
        <v>17</v>
      </c>
      <c r="C56">
        <v>8697.0</v>
      </c>
      <c r="D56" t="s">
        <v>18</v>
      </c>
      <c r="E56" t="s">
        <v>22</v>
      </c>
      <c r="F56">
        <v>0.3</v>
      </c>
      <c r="G56" t="s">
        <v>36</v>
      </c>
      <c r="H56">
        <v>1.0E-4</v>
      </c>
      <c r="I56">
        <v>15.0</v>
      </c>
      <c r="J56">
        <v>16.0</v>
      </c>
      <c r="K56">
        <v>62.5287356321839</v>
      </c>
      <c r="L56">
        <v>1.0</v>
      </c>
      <c r="M56">
        <v>0.62</v>
      </c>
      <c r="N56">
        <v>0.64</v>
      </c>
      <c r="O56">
        <v>0.63</v>
      </c>
      <c r="P56">
        <v>264.0</v>
      </c>
      <c r="Q56" s="1" t="s">
        <v>32</v>
      </c>
    </row>
    <row r="57">
      <c r="A57" s="1">
        <v>15.0</v>
      </c>
      <c r="B57" t="s">
        <v>24</v>
      </c>
      <c r="C57">
        <v>1450.0</v>
      </c>
      <c r="D57" t="s">
        <v>18</v>
      </c>
      <c r="E57" t="s">
        <v>22</v>
      </c>
      <c r="F57">
        <v>0.4</v>
      </c>
      <c r="G57" t="s">
        <v>20</v>
      </c>
      <c r="H57">
        <v>1.0E-4</v>
      </c>
      <c r="I57">
        <v>15.0</v>
      </c>
      <c r="J57">
        <v>24.0</v>
      </c>
      <c r="K57">
        <v>67.5862068965517</v>
      </c>
      <c r="L57">
        <v>1.0</v>
      </c>
      <c r="M57">
        <v>0.63</v>
      </c>
      <c r="N57">
        <v>0.62</v>
      </c>
      <c r="O57">
        <v>0.63</v>
      </c>
      <c r="P57">
        <v>58.0</v>
      </c>
      <c r="Q57" s="1" t="s">
        <v>29</v>
      </c>
    </row>
    <row r="58">
      <c r="A58" s="1">
        <v>12.0</v>
      </c>
      <c r="B58" t="s">
        <v>27</v>
      </c>
      <c r="C58">
        <v>5798.0</v>
      </c>
      <c r="D58" t="s">
        <v>18</v>
      </c>
      <c r="E58" t="s">
        <v>26</v>
      </c>
      <c r="F58">
        <v>0.25</v>
      </c>
      <c r="G58" t="s">
        <v>20</v>
      </c>
      <c r="H58">
        <v>1.0E-4</v>
      </c>
      <c r="I58">
        <v>20.0</v>
      </c>
      <c r="J58">
        <v>24.0</v>
      </c>
      <c r="K58">
        <v>53.103448275862</v>
      </c>
      <c r="L58">
        <v>1.0</v>
      </c>
      <c r="M58">
        <v>0.64</v>
      </c>
      <c r="N58">
        <v>0.62</v>
      </c>
      <c r="O58">
        <v>0.63</v>
      </c>
      <c r="P58">
        <v>176.0</v>
      </c>
      <c r="Q58" s="1" t="s">
        <v>21</v>
      </c>
    </row>
    <row r="59">
      <c r="A59" s="1">
        <v>11.0</v>
      </c>
      <c r="B59" t="s">
        <v>27</v>
      </c>
      <c r="C59">
        <v>5798.0</v>
      </c>
      <c r="D59" t="s">
        <v>18</v>
      </c>
      <c r="E59" t="s">
        <v>26</v>
      </c>
      <c r="F59">
        <v>0.2</v>
      </c>
      <c r="G59" t="s">
        <v>20</v>
      </c>
      <c r="H59">
        <v>1.0E-5</v>
      </c>
      <c r="I59">
        <v>40.0</v>
      </c>
      <c r="J59">
        <v>200.0</v>
      </c>
      <c r="K59">
        <v>52.2413793103448</v>
      </c>
      <c r="L59">
        <v>1.0</v>
      </c>
      <c r="M59">
        <v>0.68</v>
      </c>
      <c r="N59">
        <v>0.58</v>
      </c>
      <c r="O59">
        <v>0.63</v>
      </c>
      <c r="P59">
        <v>199.0</v>
      </c>
      <c r="Q59" s="1" t="s">
        <v>21</v>
      </c>
    </row>
    <row r="60">
      <c r="A60" s="1">
        <v>14.0</v>
      </c>
      <c r="B60" t="s">
        <v>24</v>
      </c>
      <c r="C60">
        <v>2899.0</v>
      </c>
      <c r="D60" t="s">
        <v>18</v>
      </c>
      <c r="E60" t="s">
        <v>22</v>
      </c>
      <c r="F60">
        <v>0.4</v>
      </c>
      <c r="G60" t="s">
        <v>20</v>
      </c>
      <c r="H60">
        <v>1.0E-4</v>
      </c>
      <c r="I60">
        <v>20.0</v>
      </c>
      <c r="J60">
        <v>200.0</v>
      </c>
      <c r="K60">
        <v>54.4827586206896</v>
      </c>
      <c r="L60">
        <v>1.0</v>
      </c>
      <c r="M60">
        <v>0.62</v>
      </c>
      <c r="N60">
        <v>0.61</v>
      </c>
      <c r="O60">
        <v>0.62</v>
      </c>
      <c r="P60">
        <v>87.0</v>
      </c>
      <c r="Q60" s="1" t="s">
        <v>21</v>
      </c>
    </row>
    <row r="61">
      <c r="A61" s="1">
        <v>13.0</v>
      </c>
      <c r="B61" t="s">
        <v>27</v>
      </c>
      <c r="C61">
        <v>2899.0</v>
      </c>
      <c r="D61" t="s">
        <v>18</v>
      </c>
      <c r="E61" t="s">
        <v>22</v>
      </c>
      <c r="F61">
        <v>0.4</v>
      </c>
      <c r="G61" t="s">
        <v>20</v>
      </c>
      <c r="H61">
        <v>1.0E-4</v>
      </c>
      <c r="I61">
        <v>20.0</v>
      </c>
      <c r="J61">
        <v>200.0</v>
      </c>
      <c r="K61">
        <v>54.4827586206896</v>
      </c>
      <c r="L61">
        <v>1.0</v>
      </c>
      <c r="M61">
        <v>0.62</v>
      </c>
      <c r="N61">
        <v>0.61</v>
      </c>
      <c r="O61">
        <v>0.62</v>
      </c>
      <c r="P61">
        <v>87.0</v>
      </c>
      <c r="Q61" s="1" t="s">
        <v>21</v>
      </c>
    </row>
    <row r="62">
      <c r="A62" s="1">
        <v>10.0</v>
      </c>
      <c r="B62" t="s">
        <v>27</v>
      </c>
      <c r="C62">
        <v>5798.0</v>
      </c>
      <c r="D62" t="s">
        <v>18</v>
      </c>
      <c r="E62" t="s">
        <v>26</v>
      </c>
      <c r="F62">
        <v>0.1</v>
      </c>
      <c r="G62" t="s">
        <v>20</v>
      </c>
      <c r="H62">
        <v>0.001</v>
      </c>
      <c r="I62">
        <v>25.0</v>
      </c>
      <c r="J62">
        <v>100.0</v>
      </c>
      <c r="K62">
        <v>46.9827586206896</v>
      </c>
      <c r="L62">
        <v>1.0</v>
      </c>
      <c r="M62">
        <v>0.88</v>
      </c>
      <c r="N62">
        <v>0.48</v>
      </c>
      <c r="O62">
        <v>0.62</v>
      </c>
      <c r="P62">
        <v>617.0</v>
      </c>
      <c r="Q62" s="1" t="s">
        <v>21</v>
      </c>
    </row>
    <row r="63">
      <c r="A63" s="1">
        <v>29.0</v>
      </c>
      <c r="B63" s="1" t="s">
        <v>17</v>
      </c>
      <c r="C63" s="1">
        <v>10147.0</v>
      </c>
      <c r="D63" s="1" t="s">
        <v>18</v>
      </c>
      <c r="E63" s="1" t="s">
        <v>22</v>
      </c>
      <c r="F63" s="1">
        <v>0.3</v>
      </c>
      <c r="G63" s="1" t="s">
        <v>34</v>
      </c>
      <c r="H63" s="1">
        <v>1.0E-4</v>
      </c>
      <c r="I63" s="1">
        <v>15.0</v>
      </c>
      <c r="J63" s="1">
        <v>18.0</v>
      </c>
      <c r="K63" s="1">
        <v>67.1921182266009</v>
      </c>
      <c r="L63" s="1">
        <v>100.0</v>
      </c>
      <c r="M63" s="1">
        <v>0.49</v>
      </c>
      <c r="N63" s="1">
        <v>0.79</v>
      </c>
      <c r="O63" s="1">
        <v>0.61</v>
      </c>
      <c r="P63" s="1">
        <v>197.0</v>
      </c>
      <c r="Q63" s="1" t="s">
        <v>32</v>
      </c>
    </row>
    <row r="64">
      <c r="A64" s="1">
        <v>36.0</v>
      </c>
      <c r="B64" s="1" t="s">
        <v>24</v>
      </c>
      <c r="C64" s="1">
        <v>11596.0</v>
      </c>
      <c r="D64" s="1" t="s">
        <v>18</v>
      </c>
      <c r="E64" s="1" t="s">
        <v>49</v>
      </c>
      <c r="F64" s="1">
        <v>0.45</v>
      </c>
      <c r="G64" s="1" t="s">
        <v>20</v>
      </c>
      <c r="H64" s="1">
        <v>1.0E-4</v>
      </c>
      <c r="I64" s="1">
        <v>15.0</v>
      </c>
      <c r="J64" s="1">
        <v>16.0</v>
      </c>
      <c r="K64" s="1">
        <v>69.4827586206896</v>
      </c>
      <c r="L64" s="1">
        <v>100.0</v>
      </c>
      <c r="M64" s="1">
        <v>0.57</v>
      </c>
      <c r="N64" s="1">
        <v>0.66</v>
      </c>
      <c r="O64" s="1">
        <v>0.61</v>
      </c>
      <c r="P64" s="1">
        <v>402.0</v>
      </c>
      <c r="Q64" s="1" t="s">
        <v>29</v>
      </c>
    </row>
    <row r="65">
      <c r="A65" s="1">
        <v>38.0</v>
      </c>
      <c r="B65" s="1" t="s">
        <v>24</v>
      </c>
      <c r="C65" s="1">
        <v>11596.0</v>
      </c>
      <c r="D65" s="1" t="s">
        <v>18</v>
      </c>
      <c r="E65" s="1" t="s">
        <v>22</v>
      </c>
      <c r="F65" s="1">
        <v>0.45</v>
      </c>
      <c r="G65" s="1" t="s">
        <v>20</v>
      </c>
      <c r="H65" s="1">
        <v>1.0E-4</v>
      </c>
      <c r="I65" s="1">
        <v>15.0</v>
      </c>
      <c r="J65" s="1">
        <v>16.0</v>
      </c>
      <c r="K65" s="1">
        <v>68.1896551724138</v>
      </c>
      <c r="L65" s="1">
        <v>100.0</v>
      </c>
      <c r="M65" s="1">
        <v>0.58</v>
      </c>
      <c r="N65" s="1">
        <v>0.63</v>
      </c>
      <c r="O65" s="1">
        <v>0.61</v>
      </c>
      <c r="P65" s="1">
        <v>426.0</v>
      </c>
      <c r="Q65" s="1" t="s">
        <v>32</v>
      </c>
    </row>
    <row r="66">
      <c r="A66" s="1">
        <v>4.0</v>
      </c>
      <c r="B66" s="1" t="s">
        <v>27</v>
      </c>
      <c r="C66" s="1">
        <v>1450.0</v>
      </c>
      <c r="D66" s="1" t="s">
        <v>28</v>
      </c>
      <c r="E66" s="1" t="s">
        <v>26</v>
      </c>
      <c r="F66" s="1">
        <v>0.2</v>
      </c>
      <c r="G66" s="1" t="s">
        <v>20</v>
      </c>
      <c r="H66" s="1">
        <v>1.0E-4</v>
      </c>
      <c r="I66" s="1">
        <v>30.0</v>
      </c>
      <c r="J66" s="1">
        <v>20.0</v>
      </c>
      <c r="K66" s="1">
        <v>56.5517</v>
      </c>
      <c r="L66" s="1">
        <v>1.0</v>
      </c>
      <c r="M66">
        <v>0.62</v>
      </c>
      <c r="N66">
        <v>0.6</v>
      </c>
      <c r="O66">
        <v>0.61</v>
      </c>
      <c r="P66">
        <v>89.0</v>
      </c>
      <c r="Q66" s="1" t="s">
        <v>21</v>
      </c>
    </row>
    <row r="67">
      <c r="A67" s="1">
        <v>26.0</v>
      </c>
      <c r="B67" s="1" t="s">
        <v>17</v>
      </c>
      <c r="C67" s="1">
        <v>10147.0</v>
      </c>
      <c r="D67" s="1" t="s">
        <v>35</v>
      </c>
      <c r="E67" s="1" t="s">
        <v>22</v>
      </c>
      <c r="F67" s="1">
        <v>0.5</v>
      </c>
      <c r="G67" s="1" t="s">
        <v>20</v>
      </c>
      <c r="H67" s="1">
        <v>1.0E-4</v>
      </c>
      <c r="I67" s="1">
        <v>15.0</v>
      </c>
      <c r="J67" s="1">
        <v>16.0</v>
      </c>
      <c r="K67" s="1">
        <v>66.6009852216748</v>
      </c>
      <c r="L67" s="1">
        <v>100.0</v>
      </c>
      <c r="M67" s="1">
        <v>0.62</v>
      </c>
      <c r="N67" s="1">
        <v>0.59</v>
      </c>
      <c r="O67" s="1">
        <v>0.61</v>
      </c>
      <c r="P67" s="1">
        <v>421.0</v>
      </c>
      <c r="Q67" s="1" t="s">
        <v>29</v>
      </c>
    </row>
    <row r="68">
      <c r="A68" s="1">
        <v>27.0</v>
      </c>
      <c r="B68" s="1" t="s">
        <v>17</v>
      </c>
      <c r="C68" s="1">
        <v>10147.0</v>
      </c>
      <c r="D68" s="1" t="s">
        <v>35</v>
      </c>
      <c r="E68" s="1" t="s">
        <v>22</v>
      </c>
      <c r="F68" s="1">
        <v>0.5</v>
      </c>
      <c r="G68" s="1" t="s">
        <v>23</v>
      </c>
      <c r="H68" s="1">
        <v>1.0E-4</v>
      </c>
      <c r="I68" s="1">
        <v>15.0</v>
      </c>
      <c r="J68" s="1">
        <v>16.0</v>
      </c>
      <c r="K68" s="1">
        <v>65.7142857142857</v>
      </c>
      <c r="L68" s="1">
        <v>100.0</v>
      </c>
      <c r="M68" s="1">
        <v>0.66</v>
      </c>
      <c r="N68" s="1">
        <v>0.58</v>
      </c>
      <c r="O68" s="1">
        <v>0.61</v>
      </c>
      <c r="P68" s="1">
        <v>459.0</v>
      </c>
      <c r="Q68" s="1" t="s">
        <v>29</v>
      </c>
    </row>
    <row r="69">
      <c r="A69" s="1">
        <v>35.0</v>
      </c>
      <c r="B69" s="1" t="s">
        <v>17</v>
      </c>
      <c r="C69" s="1">
        <v>10147.0</v>
      </c>
      <c r="D69" s="1" t="s">
        <v>33</v>
      </c>
      <c r="E69" s="1" t="s">
        <v>30</v>
      </c>
      <c r="F69" s="1">
        <v>0.45</v>
      </c>
      <c r="G69" s="1" t="s">
        <v>20</v>
      </c>
      <c r="H69" s="1">
        <v>1.0E-4</v>
      </c>
      <c r="I69" s="1">
        <v>15.0</v>
      </c>
      <c r="J69" s="1">
        <v>16.0</v>
      </c>
      <c r="K69" s="1">
        <v>69.1625615763546</v>
      </c>
      <c r="L69" s="1">
        <v>100.0</v>
      </c>
      <c r="M69" s="1">
        <v>0.54</v>
      </c>
      <c r="N69" s="1">
        <v>0.67</v>
      </c>
      <c r="O69" s="1">
        <v>0.6</v>
      </c>
      <c r="P69" s="1">
        <v>325.0</v>
      </c>
      <c r="Q69" s="1" t="s">
        <v>29</v>
      </c>
    </row>
    <row r="70">
      <c r="A70" s="1">
        <v>28.0</v>
      </c>
      <c r="B70" s="1" t="s">
        <v>17</v>
      </c>
      <c r="C70" s="1">
        <v>10147.0</v>
      </c>
      <c r="D70" s="1" t="s">
        <v>18</v>
      </c>
      <c r="E70" s="1" t="s">
        <v>22</v>
      </c>
      <c r="F70" s="1">
        <v>0.35</v>
      </c>
      <c r="G70" s="1" t="s">
        <v>20</v>
      </c>
      <c r="H70" s="1">
        <v>1.0E-4</v>
      </c>
      <c r="I70" s="1">
        <v>15.0</v>
      </c>
      <c r="J70" s="1">
        <v>15.0</v>
      </c>
      <c r="K70" s="1">
        <v>68.3743842364532</v>
      </c>
      <c r="L70" s="1">
        <v>100.0</v>
      </c>
      <c r="M70" s="1">
        <v>0.56</v>
      </c>
      <c r="N70" s="1">
        <v>0.63</v>
      </c>
      <c r="O70" s="1">
        <v>0.6</v>
      </c>
      <c r="P70" s="1">
        <v>356.0</v>
      </c>
      <c r="Q70" s="1" t="s">
        <v>29</v>
      </c>
    </row>
    <row r="71">
      <c r="A71" s="1">
        <v>33.0</v>
      </c>
      <c r="B71" s="1" t="s">
        <v>17</v>
      </c>
      <c r="C71" s="1">
        <v>10147.0</v>
      </c>
      <c r="D71" s="1" t="s">
        <v>18</v>
      </c>
      <c r="E71" s="1" t="s">
        <v>22</v>
      </c>
      <c r="F71" s="1">
        <v>0.4</v>
      </c>
      <c r="G71" s="1" t="s">
        <v>20</v>
      </c>
      <c r="H71" s="1">
        <v>1.0E-4</v>
      </c>
      <c r="I71" s="1">
        <v>15.0</v>
      </c>
      <c r="J71" s="1">
        <v>16.0</v>
      </c>
      <c r="K71" s="1">
        <v>68.2758620689655</v>
      </c>
      <c r="L71" s="1">
        <v>100.0</v>
      </c>
      <c r="M71" s="1">
        <v>0.58</v>
      </c>
      <c r="N71" s="1">
        <v>0.62</v>
      </c>
      <c r="O71" s="1">
        <v>0.6</v>
      </c>
      <c r="P71" s="1">
        <v>373.0</v>
      </c>
      <c r="Q71" s="1" t="s">
        <v>29</v>
      </c>
    </row>
    <row r="72">
      <c r="A72" s="1">
        <v>4.0</v>
      </c>
      <c r="B72" s="1" t="s">
        <v>27</v>
      </c>
      <c r="C72" s="1">
        <v>1450.0</v>
      </c>
      <c r="D72" s="1" t="s">
        <v>28</v>
      </c>
      <c r="E72" s="1" t="s">
        <v>26</v>
      </c>
      <c r="F72" s="1">
        <v>0.2</v>
      </c>
      <c r="G72" s="1" t="s">
        <v>20</v>
      </c>
      <c r="H72" s="1">
        <v>1.0E-4</v>
      </c>
      <c r="I72" s="1">
        <v>30.0</v>
      </c>
      <c r="J72" s="1">
        <v>20.0</v>
      </c>
      <c r="K72" s="1">
        <v>56.5517</v>
      </c>
      <c r="L72" s="1">
        <v>1.0</v>
      </c>
      <c r="M72">
        <v>0.59</v>
      </c>
      <c r="N72">
        <v>0.62</v>
      </c>
      <c r="O72">
        <v>0.6</v>
      </c>
      <c r="P72">
        <v>86.0</v>
      </c>
      <c r="Q72" s="1" t="s">
        <v>32</v>
      </c>
    </row>
    <row r="73">
      <c r="A73" s="1">
        <v>22.0</v>
      </c>
      <c r="B73" t="s">
        <v>17</v>
      </c>
      <c r="C73">
        <v>5798.0</v>
      </c>
      <c r="D73" t="s">
        <v>18</v>
      </c>
      <c r="E73" t="s">
        <v>22</v>
      </c>
      <c r="F73">
        <v>0.3</v>
      </c>
      <c r="G73" t="s">
        <v>20</v>
      </c>
      <c r="H73">
        <v>1.0E-4</v>
      </c>
      <c r="I73">
        <v>15.0</v>
      </c>
      <c r="J73">
        <v>16.0</v>
      </c>
      <c r="K73">
        <v>66.2068965517241</v>
      </c>
      <c r="L73">
        <v>1.0</v>
      </c>
      <c r="M73">
        <v>0.6</v>
      </c>
      <c r="N73">
        <v>0.6</v>
      </c>
      <c r="O73">
        <v>0.6</v>
      </c>
      <c r="P73">
        <v>229.0</v>
      </c>
      <c r="Q73" s="1" t="s">
        <v>29</v>
      </c>
    </row>
    <row r="74">
      <c r="A74" s="1">
        <v>39.0</v>
      </c>
      <c r="B74" s="1" t="s">
        <v>24</v>
      </c>
      <c r="C74" s="1">
        <v>11596.0</v>
      </c>
      <c r="D74" s="1" t="s">
        <v>18</v>
      </c>
      <c r="E74" s="1" t="s">
        <v>30</v>
      </c>
      <c r="F74" s="1">
        <v>0.45</v>
      </c>
      <c r="G74" s="1" t="s">
        <v>20</v>
      </c>
      <c r="H74" s="1">
        <v>1.0E-4</v>
      </c>
      <c r="I74" s="1">
        <v>15.0</v>
      </c>
      <c r="J74" s="1">
        <v>16.0</v>
      </c>
      <c r="K74" s="1">
        <v>68.2758620689655</v>
      </c>
      <c r="L74" s="1">
        <v>100.0</v>
      </c>
      <c r="M74" s="1">
        <v>0.54</v>
      </c>
      <c r="N74" s="1">
        <v>0.65</v>
      </c>
      <c r="O74" s="1">
        <v>0.59</v>
      </c>
      <c r="P74" s="1">
        <v>379.0</v>
      </c>
      <c r="Q74" s="1" t="s">
        <v>32</v>
      </c>
    </row>
    <row r="75">
      <c r="A75" s="1">
        <v>21.0</v>
      </c>
      <c r="B75" t="s">
        <v>17</v>
      </c>
      <c r="C75">
        <v>5798.0</v>
      </c>
      <c r="D75" t="s">
        <v>18</v>
      </c>
      <c r="E75" t="s">
        <v>22</v>
      </c>
      <c r="F75">
        <v>0.3</v>
      </c>
      <c r="G75" t="s">
        <v>20</v>
      </c>
      <c r="H75">
        <v>1.0E-4</v>
      </c>
      <c r="I75">
        <v>20.0</v>
      </c>
      <c r="J75">
        <v>10.0</v>
      </c>
      <c r="K75">
        <v>67.9310344827586</v>
      </c>
      <c r="L75">
        <v>1.0</v>
      </c>
      <c r="M75">
        <v>0.55</v>
      </c>
      <c r="N75">
        <v>0.65</v>
      </c>
      <c r="O75">
        <v>0.59</v>
      </c>
      <c r="P75">
        <v>195.0</v>
      </c>
      <c r="Q75" s="1" t="s">
        <v>29</v>
      </c>
    </row>
    <row r="76">
      <c r="A76" s="1">
        <v>30.0</v>
      </c>
      <c r="B76" s="1" t="s">
        <v>17</v>
      </c>
      <c r="C76" s="1">
        <v>10147.0</v>
      </c>
      <c r="D76" s="1" t="s">
        <v>18</v>
      </c>
      <c r="E76" s="5" t="s">
        <v>26</v>
      </c>
      <c r="F76" s="1">
        <v>0.4</v>
      </c>
      <c r="G76" s="1" t="s">
        <v>34</v>
      </c>
      <c r="H76" s="1">
        <v>1.0E-4</v>
      </c>
      <c r="I76" s="1">
        <v>15.0</v>
      </c>
      <c r="J76" s="1">
        <v>16.0</v>
      </c>
      <c r="K76" s="1">
        <v>68.1773399014778</v>
      </c>
      <c r="L76" s="1">
        <v>100.0</v>
      </c>
      <c r="M76" s="1">
        <v>0.57</v>
      </c>
      <c r="N76" s="1">
        <v>0.62</v>
      </c>
      <c r="O76" s="1">
        <v>0.59</v>
      </c>
      <c r="P76" s="1">
        <v>371.0</v>
      </c>
      <c r="Q76" s="1" t="s">
        <v>29</v>
      </c>
    </row>
    <row r="77">
      <c r="A77" s="1">
        <v>20.0</v>
      </c>
      <c r="B77" t="s">
        <v>17</v>
      </c>
      <c r="C77">
        <v>5798.0</v>
      </c>
      <c r="D77" t="s">
        <v>18</v>
      </c>
      <c r="E77" t="s">
        <v>22</v>
      </c>
      <c r="F77">
        <v>0.3</v>
      </c>
      <c r="G77" t="s">
        <v>20</v>
      </c>
      <c r="H77">
        <v>1.0E-4</v>
      </c>
      <c r="I77">
        <v>10.0</v>
      </c>
      <c r="J77">
        <v>24.0</v>
      </c>
      <c r="K77">
        <v>66.3793103448275</v>
      </c>
      <c r="L77">
        <v>1.0</v>
      </c>
      <c r="M77">
        <v>0.56</v>
      </c>
      <c r="N77">
        <v>0.62</v>
      </c>
      <c r="O77">
        <v>0.59</v>
      </c>
      <c r="P77">
        <v>208.0</v>
      </c>
      <c r="Q77" s="1" t="s">
        <v>29</v>
      </c>
    </row>
    <row r="78">
      <c r="A78" s="1">
        <v>20.0</v>
      </c>
      <c r="B78" t="s">
        <v>17</v>
      </c>
      <c r="C78">
        <v>5798.0</v>
      </c>
      <c r="D78" t="s">
        <v>18</v>
      </c>
      <c r="E78" t="s">
        <v>22</v>
      </c>
      <c r="F78">
        <v>0.3</v>
      </c>
      <c r="G78" t="s">
        <v>20</v>
      </c>
      <c r="H78">
        <v>1.0E-4</v>
      </c>
      <c r="I78">
        <v>10.0</v>
      </c>
      <c r="J78">
        <v>24.0</v>
      </c>
      <c r="K78">
        <v>66.3793103448275</v>
      </c>
      <c r="L78">
        <v>1.0</v>
      </c>
      <c r="M78">
        <v>0.56</v>
      </c>
      <c r="N78">
        <v>0.62</v>
      </c>
      <c r="O78">
        <v>0.59</v>
      </c>
      <c r="P78">
        <v>208.0</v>
      </c>
      <c r="Q78" s="1" t="s">
        <v>21</v>
      </c>
    </row>
    <row r="79">
      <c r="A79" s="1">
        <v>7.0</v>
      </c>
      <c r="B79" t="s">
        <v>27</v>
      </c>
      <c r="C79">
        <v>1450.0</v>
      </c>
      <c r="D79" t="s">
        <v>18</v>
      </c>
      <c r="E79" t="s">
        <v>26</v>
      </c>
      <c r="F79">
        <v>0.05</v>
      </c>
      <c r="G79" t="s">
        <v>20</v>
      </c>
      <c r="H79">
        <v>1.0E-4</v>
      </c>
      <c r="I79">
        <v>30.0</v>
      </c>
      <c r="J79">
        <v>20.0</v>
      </c>
      <c r="K79">
        <v>53.4482758620689</v>
      </c>
      <c r="L79">
        <v>1.0</v>
      </c>
      <c r="M79">
        <v>0.64</v>
      </c>
      <c r="N79">
        <v>0.55</v>
      </c>
      <c r="O79">
        <v>0.59</v>
      </c>
      <c r="P79">
        <v>99.0</v>
      </c>
      <c r="Q79" s="1" t="s">
        <v>21</v>
      </c>
    </row>
    <row r="80">
      <c r="A80" s="1">
        <v>14.0</v>
      </c>
      <c r="B80" t="s">
        <v>24</v>
      </c>
      <c r="C80">
        <v>2899.0</v>
      </c>
      <c r="D80" t="s">
        <v>18</v>
      </c>
      <c r="E80" t="s">
        <v>22</v>
      </c>
      <c r="F80">
        <v>0.4</v>
      </c>
      <c r="G80" t="s">
        <v>20</v>
      </c>
      <c r="H80">
        <v>1.0E-4</v>
      </c>
      <c r="I80">
        <v>20.0</v>
      </c>
      <c r="J80">
        <v>200.0</v>
      </c>
      <c r="K80">
        <v>54.4827586206896</v>
      </c>
      <c r="L80">
        <v>1.0</v>
      </c>
      <c r="M80">
        <v>0.8</v>
      </c>
      <c r="N80">
        <v>0.47</v>
      </c>
      <c r="O80">
        <v>0.59</v>
      </c>
      <c r="P80">
        <v>154.0</v>
      </c>
      <c r="Q80" s="1" t="s">
        <v>32</v>
      </c>
    </row>
    <row r="81">
      <c r="A81" s="1">
        <v>13.0</v>
      </c>
      <c r="B81" t="s">
        <v>27</v>
      </c>
      <c r="C81">
        <v>2899.0</v>
      </c>
      <c r="D81" t="s">
        <v>18</v>
      </c>
      <c r="E81" t="s">
        <v>22</v>
      </c>
      <c r="F81">
        <v>0.4</v>
      </c>
      <c r="G81" t="s">
        <v>20</v>
      </c>
      <c r="H81">
        <v>1.0E-4</v>
      </c>
      <c r="I81">
        <v>20.0</v>
      </c>
      <c r="J81">
        <v>200.0</v>
      </c>
      <c r="K81">
        <v>54.4827586206896</v>
      </c>
      <c r="L81">
        <v>1.0</v>
      </c>
      <c r="M81">
        <v>0.8</v>
      </c>
      <c r="N81">
        <v>0.47</v>
      </c>
      <c r="O81">
        <v>0.59</v>
      </c>
      <c r="P81">
        <v>154.0</v>
      </c>
      <c r="Q81" s="1" t="s">
        <v>32</v>
      </c>
    </row>
    <row r="82">
      <c r="A82" s="1">
        <v>8.0</v>
      </c>
      <c r="B82" t="s">
        <v>27</v>
      </c>
      <c r="C82">
        <v>2899.0</v>
      </c>
      <c r="D82" t="s">
        <v>18</v>
      </c>
      <c r="E82" t="s">
        <v>26</v>
      </c>
      <c r="F82">
        <v>0.2</v>
      </c>
      <c r="G82" t="s">
        <v>20</v>
      </c>
      <c r="H82">
        <v>1.0E-4</v>
      </c>
      <c r="I82">
        <v>50.0</v>
      </c>
      <c r="J82">
        <v>50.0</v>
      </c>
      <c r="K82">
        <v>53.4482758620689</v>
      </c>
      <c r="L82">
        <v>1.0</v>
      </c>
      <c r="M82">
        <v>0.49</v>
      </c>
      <c r="N82">
        <v>0.72</v>
      </c>
      <c r="O82">
        <v>0.58</v>
      </c>
      <c r="P82">
        <v>116.0</v>
      </c>
      <c r="Q82" s="1" t="s">
        <v>21</v>
      </c>
    </row>
    <row r="83">
      <c r="A83" s="1">
        <v>8.0</v>
      </c>
      <c r="B83" t="s">
        <v>27</v>
      </c>
      <c r="C83">
        <v>2899.0</v>
      </c>
      <c r="D83" t="s">
        <v>18</v>
      </c>
      <c r="E83" t="s">
        <v>26</v>
      </c>
      <c r="F83">
        <v>0.2</v>
      </c>
      <c r="G83" t="s">
        <v>20</v>
      </c>
      <c r="H83">
        <v>1.0E-4</v>
      </c>
      <c r="I83">
        <v>50.0</v>
      </c>
      <c r="J83">
        <v>50.0</v>
      </c>
      <c r="K83">
        <v>53.4482758620689</v>
      </c>
      <c r="L83">
        <v>1.0</v>
      </c>
      <c r="M83">
        <v>0.79</v>
      </c>
      <c r="N83">
        <v>0.46</v>
      </c>
      <c r="O83">
        <v>0.58</v>
      </c>
      <c r="P83">
        <v>399.0</v>
      </c>
      <c r="Q83" s="1" t="s">
        <v>29</v>
      </c>
    </row>
    <row r="84">
      <c r="A84" s="1">
        <v>6.0</v>
      </c>
      <c r="B84" t="s">
        <v>27</v>
      </c>
      <c r="C84">
        <v>290.0</v>
      </c>
      <c r="D84" t="s">
        <v>18</v>
      </c>
      <c r="E84" t="s">
        <v>52</v>
      </c>
      <c r="F84">
        <v>0.2</v>
      </c>
      <c r="G84" t="s">
        <v>20</v>
      </c>
      <c r="H84">
        <v>1.0E-4</v>
      </c>
      <c r="I84">
        <v>20.0</v>
      </c>
      <c r="J84">
        <v>8.0</v>
      </c>
      <c r="K84">
        <v>46.551724137931</v>
      </c>
      <c r="L84" s="1">
        <v>1.0</v>
      </c>
      <c r="M84">
        <v>0.82</v>
      </c>
      <c r="N84">
        <v>0.45</v>
      </c>
      <c r="O84">
        <v>0.58</v>
      </c>
      <c r="P84">
        <v>31.0</v>
      </c>
      <c r="Q84" s="1" t="s">
        <v>21</v>
      </c>
    </row>
    <row r="85">
      <c r="A85" s="1">
        <v>37.0</v>
      </c>
      <c r="B85" s="1" t="s">
        <v>24</v>
      </c>
      <c r="C85" s="1">
        <v>11596.0</v>
      </c>
      <c r="D85" s="1" t="s">
        <v>18</v>
      </c>
      <c r="E85" s="1" t="s">
        <v>46</v>
      </c>
      <c r="F85" s="1">
        <v>0.45</v>
      </c>
      <c r="G85" s="1" t="s">
        <v>20</v>
      </c>
      <c r="H85" s="1">
        <v>1.0E-4</v>
      </c>
      <c r="I85" s="1">
        <v>15.0</v>
      </c>
      <c r="J85" s="1">
        <v>16.0</v>
      </c>
      <c r="K85" s="1">
        <v>68.3620689655172</v>
      </c>
      <c r="L85" s="1">
        <v>100.0</v>
      </c>
      <c r="M85" s="1">
        <v>0.49</v>
      </c>
      <c r="N85" s="1">
        <v>0.68</v>
      </c>
      <c r="O85" s="1">
        <v>0.57</v>
      </c>
      <c r="P85" s="1">
        <v>329.0</v>
      </c>
      <c r="Q85" s="1" t="s">
        <v>32</v>
      </c>
    </row>
    <row r="86">
      <c r="A86" s="1">
        <v>17.0</v>
      </c>
      <c r="B86" t="s">
        <v>24</v>
      </c>
      <c r="C86">
        <v>5798.0</v>
      </c>
      <c r="D86" t="s">
        <v>18</v>
      </c>
      <c r="E86" t="s">
        <v>26</v>
      </c>
      <c r="F86">
        <v>0.25</v>
      </c>
      <c r="G86" t="s">
        <v>20</v>
      </c>
      <c r="H86">
        <v>1.0E-4</v>
      </c>
      <c r="I86">
        <v>15.0</v>
      </c>
      <c r="J86">
        <v>24.0</v>
      </c>
      <c r="K86">
        <v>68.103448275862</v>
      </c>
      <c r="L86">
        <v>1.0</v>
      </c>
      <c r="M86">
        <v>0.51</v>
      </c>
      <c r="N86">
        <v>0.66</v>
      </c>
      <c r="O86">
        <v>0.57</v>
      </c>
      <c r="P86">
        <v>177.0</v>
      </c>
      <c r="Q86" s="1" t="s">
        <v>29</v>
      </c>
    </row>
    <row r="87">
      <c r="A87" s="1">
        <v>9.0</v>
      </c>
      <c r="B87" t="s">
        <v>27</v>
      </c>
      <c r="C87">
        <v>5798.0</v>
      </c>
      <c r="D87" t="s">
        <v>18</v>
      </c>
      <c r="E87" t="s">
        <v>26</v>
      </c>
      <c r="F87">
        <v>0.05</v>
      </c>
      <c r="G87" t="s">
        <v>23</v>
      </c>
      <c r="H87">
        <v>1.0E-4</v>
      </c>
      <c r="I87">
        <v>25.0</v>
      </c>
      <c r="J87">
        <v>75.0</v>
      </c>
      <c r="K87">
        <v>53.9655172413793</v>
      </c>
      <c r="L87">
        <v>1.0</v>
      </c>
      <c r="M87">
        <v>0.52</v>
      </c>
      <c r="N87">
        <v>0.64</v>
      </c>
      <c r="O87">
        <v>0.57</v>
      </c>
      <c r="P87">
        <v>277.0</v>
      </c>
      <c r="Q87" s="1" t="s">
        <v>21</v>
      </c>
    </row>
    <row r="88">
      <c r="A88" s="1">
        <v>18.0</v>
      </c>
      <c r="B88" t="s">
        <v>24</v>
      </c>
      <c r="C88">
        <v>5798.0</v>
      </c>
      <c r="D88" t="s">
        <v>18</v>
      </c>
      <c r="E88" t="s">
        <v>22</v>
      </c>
      <c r="F88">
        <v>0.3</v>
      </c>
      <c r="G88" t="s">
        <v>20</v>
      </c>
      <c r="H88">
        <v>1.0E-4</v>
      </c>
      <c r="I88">
        <v>15.0</v>
      </c>
      <c r="J88">
        <v>24.0</v>
      </c>
      <c r="K88">
        <v>66.551724137931</v>
      </c>
      <c r="L88">
        <v>1.0</v>
      </c>
      <c r="M88">
        <v>0.52</v>
      </c>
      <c r="N88">
        <v>0.63</v>
      </c>
      <c r="O88">
        <v>0.57</v>
      </c>
      <c r="P88">
        <v>188.0</v>
      </c>
      <c r="Q88" s="1" t="s">
        <v>29</v>
      </c>
    </row>
    <row r="89">
      <c r="A89" s="1">
        <v>5.0</v>
      </c>
      <c r="B89" t="s">
        <v>27</v>
      </c>
      <c r="C89">
        <v>290.0</v>
      </c>
      <c r="D89" t="s">
        <v>18</v>
      </c>
      <c r="E89" t="s">
        <v>26</v>
      </c>
      <c r="F89">
        <v>0.2</v>
      </c>
      <c r="G89" t="s">
        <v>20</v>
      </c>
      <c r="H89">
        <v>1.0E-4</v>
      </c>
      <c r="I89">
        <v>20.0</v>
      </c>
      <c r="J89">
        <v>8.0</v>
      </c>
      <c r="K89">
        <v>55.1724137931034</v>
      </c>
      <c r="L89" s="1">
        <v>1.0</v>
      </c>
      <c r="M89">
        <v>0.56</v>
      </c>
      <c r="N89">
        <v>0.59</v>
      </c>
      <c r="O89">
        <v>0.57</v>
      </c>
      <c r="P89">
        <v>17.0</v>
      </c>
      <c r="Q89" s="1" t="s">
        <v>32</v>
      </c>
    </row>
    <row r="90">
      <c r="A90" s="1">
        <v>11.0</v>
      </c>
      <c r="B90" t="s">
        <v>27</v>
      </c>
      <c r="C90">
        <v>5798.0</v>
      </c>
      <c r="D90" t="s">
        <v>18</v>
      </c>
      <c r="E90" t="s">
        <v>26</v>
      </c>
      <c r="F90">
        <v>0.2</v>
      </c>
      <c r="G90" t="s">
        <v>20</v>
      </c>
      <c r="H90">
        <v>1.0E-5</v>
      </c>
      <c r="I90">
        <v>40.0</v>
      </c>
      <c r="J90">
        <v>200.0</v>
      </c>
      <c r="K90">
        <v>52.2413793103448</v>
      </c>
      <c r="L90">
        <v>1.0</v>
      </c>
      <c r="M90">
        <v>0.68</v>
      </c>
      <c r="N90">
        <v>0.46</v>
      </c>
      <c r="O90">
        <v>0.55</v>
      </c>
      <c r="P90">
        <v>340.0</v>
      </c>
      <c r="Q90" s="1" t="s">
        <v>29</v>
      </c>
    </row>
    <row r="91">
      <c r="A91" s="1">
        <v>34.0</v>
      </c>
      <c r="B91" s="1" t="s">
        <v>17</v>
      </c>
      <c r="C91" s="1">
        <v>11596.0</v>
      </c>
      <c r="D91" s="1" t="s">
        <v>18</v>
      </c>
      <c r="E91" s="5" t="s">
        <v>26</v>
      </c>
      <c r="F91" s="1">
        <v>0.5</v>
      </c>
      <c r="G91" s="1" t="s">
        <v>20</v>
      </c>
      <c r="H91" s="1">
        <v>1.0E-4</v>
      </c>
      <c r="I91" s="1">
        <v>15.0</v>
      </c>
      <c r="J91" s="1">
        <v>16.0</v>
      </c>
      <c r="K91" s="1">
        <v>66.6379310344827</v>
      </c>
      <c r="L91" s="1">
        <v>100.0</v>
      </c>
      <c r="M91" s="1">
        <v>0.45</v>
      </c>
      <c r="N91" s="1">
        <v>0.68</v>
      </c>
      <c r="O91" s="1">
        <v>0.54</v>
      </c>
      <c r="P91" s="1">
        <v>303.0</v>
      </c>
      <c r="Q91" s="1" t="s">
        <v>29</v>
      </c>
    </row>
    <row r="92">
      <c r="A92" s="1">
        <v>9.0</v>
      </c>
      <c r="B92" t="s">
        <v>27</v>
      </c>
      <c r="C92">
        <v>5798.0</v>
      </c>
      <c r="D92" t="s">
        <v>18</v>
      </c>
      <c r="E92" t="s">
        <v>26</v>
      </c>
      <c r="F92">
        <v>0.05</v>
      </c>
      <c r="G92" t="s">
        <v>23</v>
      </c>
      <c r="H92">
        <v>1.0E-4</v>
      </c>
      <c r="I92">
        <v>25.0</v>
      </c>
      <c r="J92">
        <v>75.0</v>
      </c>
      <c r="K92">
        <v>53.9655172413793</v>
      </c>
      <c r="L92">
        <v>1.0</v>
      </c>
      <c r="M92">
        <v>0.47</v>
      </c>
      <c r="N92">
        <v>0.62</v>
      </c>
      <c r="O92">
        <v>0.53</v>
      </c>
      <c r="P92">
        <v>271.0</v>
      </c>
      <c r="Q92" s="1" t="s">
        <v>32</v>
      </c>
    </row>
    <row r="93">
      <c r="A93" s="1">
        <v>23.0</v>
      </c>
      <c r="B93" t="s">
        <v>17</v>
      </c>
      <c r="C93">
        <v>8697.0</v>
      </c>
      <c r="D93" t="s">
        <v>18</v>
      </c>
      <c r="E93" t="s">
        <v>22</v>
      </c>
      <c r="F93">
        <v>0.3</v>
      </c>
      <c r="G93" t="s">
        <v>36</v>
      </c>
      <c r="H93">
        <v>1.0E-4</v>
      </c>
      <c r="I93">
        <v>15.0</v>
      </c>
      <c r="J93">
        <v>16.0</v>
      </c>
      <c r="K93">
        <v>62.5287356321839</v>
      </c>
      <c r="L93">
        <v>1.0</v>
      </c>
      <c r="M93">
        <v>0.49</v>
      </c>
      <c r="N93">
        <v>0.57</v>
      </c>
      <c r="O93">
        <v>0.53</v>
      </c>
      <c r="P93">
        <v>297.0</v>
      </c>
      <c r="Q93" s="1" t="s">
        <v>29</v>
      </c>
    </row>
    <row r="94">
      <c r="A94" s="1">
        <v>7.0</v>
      </c>
      <c r="B94" t="s">
        <v>27</v>
      </c>
      <c r="C94">
        <v>1450.0</v>
      </c>
      <c r="D94" t="s">
        <v>18</v>
      </c>
      <c r="E94" t="s">
        <v>26</v>
      </c>
      <c r="F94">
        <v>0.05</v>
      </c>
      <c r="G94" t="s">
        <v>20</v>
      </c>
      <c r="H94">
        <v>1.0E-4</v>
      </c>
      <c r="I94">
        <v>30.0</v>
      </c>
      <c r="J94">
        <v>20.0</v>
      </c>
      <c r="K94">
        <v>53.4482758620689</v>
      </c>
      <c r="L94">
        <v>1.0</v>
      </c>
      <c r="M94">
        <v>0.61</v>
      </c>
      <c r="N94">
        <v>0.48</v>
      </c>
      <c r="O94">
        <v>0.53</v>
      </c>
      <c r="P94">
        <v>147.0</v>
      </c>
      <c r="Q94" s="1" t="s">
        <v>29</v>
      </c>
    </row>
    <row r="95">
      <c r="A95" s="1">
        <v>9.0</v>
      </c>
      <c r="B95" t="s">
        <v>27</v>
      </c>
      <c r="C95">
        <v>5798.0</v>
      </c>
      <c r="D95" t="s">
        <v>18</v>
      </c>
      <c r="E95" t="s">
        <v>26</v>
      </c>
      <c r="F95">
        <v>0.05</v>
      </c>
      <c r="G95" t="s">
        <v>23</v>
      </c>
      <c r="H95">
        <v>1.0E-4</v>
      </c>
      <c r="I95">
        <v>25.0</v>
      </c>
      <c r="J95">
        <v>75.0</v>
      </c>
      <c r="K95">
        <v>53.9655172413793</v>
      </c>
      <c r="L95">
        <v>1.0</v>
      </c>
      <c r="M95">
        <v>0.61</v>
      </c>
      <c r="N95">
        <v>0.46</v>
      </c>
      <c r="O95">
        <v>0.53</v>
      </c>
      <c r="P95">
        <v>612.0</v>
      </c>
      <c r="Q95" s="1" t="s">
        <v>29</v>
      </c>
    </row>
    <row r="96">
      <c r="A96" s="1">
        <v>16.0</v>
      </c>
      <c r="B96" t="s">
        <v>24</v>
      </c>
      <c r="C96">
        <v>1450.0</v>
      </c>
      <c r="D96" t="s">
        <v>18</v>
      </c>
      <c r="E96" t="s">
        <v>26</v>
      </c>
      <c r="F96">
        <v>0.4</v>
      </c>
      <c r="G96" t="s">
        <v>20</v>
      </c>
      <c r="H96">
        <v>1.0E-4</v>
      </c>
      <c r="I96">
        <v>15.0</v>
      </c>
      <c r="J96">
        <v>24.0</v>
      </c>
      <c r="K96">
        <v>65.5172413793103</v>
      </c>
      <c r="L96">
        <v>1.0</v>
      </c>
      <c r="M96">
        <v>0.42</v>
      </c>
      <c r="N96">
        <v>0.67</v>
      </c>
      <c r="O96">
        <v>0.52</v>
      </c>
      <c r="P96">
        <v>36.0</v>
      </c>
      <c r="Q96" s="1" t="s">
        <v>29</v>
      </c>
    </row>
    <row r="97">
      <c r="A97" s="1">
        <v>12.0</v>
      </c>
      <c r="B97" t="s">
        <v>27</v>
      </c>
      <c r="C97">
        <v>5798.0</v>
      </c>
      <c r="D97" t="s">
        <v>18</v>
      </c>
      <c r="E97" t="s">
        <v>26</v>
      </c>
      <c r="F97">
        <v>0.25</v>
      </c>
      <c r="G97" t="s">
        <v>20</v>
      </c>
      <c r="H97">
        <v>1.0E-4</v>
      </c>
      <c r="I97">
        <v>20.0</v>
      </c>
      <c r="J97">
        <v>24.0</v>
      </c>
      <c r="K97">
        <v>53.103448275862</v>
      </c>
      <c r="L97">
        <v>1.0</v>
      </c>
      <c r="M97">
        <v>0.45</v>
      </c>
      <c r="N97">
        <v>0.56</v>
      </c>
      <c r="O97">
        <v>0.5</v>
      </c>
      <c r="P97">
        <v>145.0</v>
      </c>
      <c r="Q97" s="1" t="s">
        <v>32</v>
      </c>
    </row>
    <row r="98">
      <c r="A98" s="1">
        <v>4.0</v>
      </c>
      <c r="B98" s="1" t="s">
        <v>27</v>
      </c>
      <c r="C98" s="1">
        <v>1450.0</v>
      </c>
      <c r="D98" s="1" t="s">
        <v>28</v>
      </c>
      <c r="E98" s="1" t="s">
        <v>26</v>
      </c>
      <c r="F98" s="1">
        <v>0.2</v>
      </c>
      <c r="G98" s="1" t="s">
        <v>20</v>
      </c>
      <c r="H98" s="1">
        <v>1.0E-4</v>
      </c>
      <c r="I98" s="1">
        <v>30.0</v>
      </c>
      <c r="J98" s="1">
        <v>20.0</v>
      </c>
      <c r="K98" s="1">
        <v>56.5517</v>
      </c>
      <c r="L98" s="1">
        <v>1.0</v>
      </c>
      <c r="M98">
        <v>0.5</v>
      </c>
      <c r="N98">
        <v>0.5</v>
      </c>
      <c r="O98">
        <v>0.5</v>
      </c>
      <c r="P98">
        <v>115.0</v>
      </c>
      <c r="Q98" s="1" t="s">
        <v>29</v>
      </c>
    </row>
    <row r="99">
      <c r="A99" s="1">
        <v>12.0</v>
      </c>
      <c r="B99" t="s">
        <v>27</v>
      </c>
      <c r="C99">
        <v>5798.0</v>
      </c>
      <c r="D99" t="s">
        <v>18</v>
      </c>
      <c r="E99" t="s">
        <v>26</v>
      </c>
      <c r="F99">
        <v>0.25</v>
      </c>
      <c r="G99" t="s">
        <v>20</v>
      </c>
      <c r="H99">
        <v>1.0E-4</v>
      </c>
      <c r="I99">
        <v>20.0</v>
      </c>
      <c r="J99">
        <v>24.0</v>
      </c>
      <c r="K99">
        <v>53.103448275862</v>
      </c>
      <c r="L99">
        <v>1.0</v>
      </c>
      <c r="M99">
        <v>0.51</v>
      </c>
      <c r="N99">
        <v>0.46</v>
      </c>
      <c r="O99">
        <v>0.48</v>
      </c>
      <c r="P99">
        <v>259.0</v>
      </c>
      <c r="Q99" s="1" t="s">
        <v>29</v>
      </c>
    </row>
    <row r="100">
      <c r="A100" s="1">
        <v>7.0</v>
      </c>
      <c r="B100" t="s">
        <v>27</v>
      </c>
      <c r="C100">
        <v>1450.0</v>
      </c>
      <c r="D100" t="s">
        <v>18</v>
      </c>
      <c r="E100" t="s">
        <v>26</v>
      </c>
      <c r="F100">
        <v>0.05</v>
      </c>
      <c r="G100" t="s">
        <v>20</v>
      </c>
      <c r="H100">
        <v>1.0E-4</v>
      </c>
      <c r="I100">
        <v>30.0</v>
      </c>
      <c r="J100">
        <v>20.0</v>
      </c>
      <c r="K100">
        <v>53.4482758620689</v>
      </c>
      <c r="L100">
        <v>1.0</v>
      </c>
      <c r="M100">
        <v>0.34</v>
      </c>
      <c r="N100">
        <v>0.7</v>
      </c>
      <c r="O100">
        <v>0.46</v>
      </c>
      <c r="P100">
        <v>44.0</v>
      </c>
      <c r="Q100" s="1" t="s">
        <v>32</v>
      </c>
    </row>
    <row r="101">
      <c r="A101" s="1">
        <v>10.0</v>
      </c>
      <c r="B101" t="s">
        <v>27</v>
      </c>
      <c r="C101">
        <v>5798.0</v>
      </c>
      <c r="D101" t="s">
        <v>18</v>
      </c>
      <c r="E101" t="s">
        <v>26</v>
      </c>
      <c r="F101">
        <v>0.1</v>
      </c>
      <c r="G101" t="s">
        <v>20</v>
      </c>
      <c r="H101">
        <v>0.001</v>
      </c>
      <c r="I101">
        <v>25.0</v>
      </c>
      <c r="J101">
        <v>100.0</v>
      </c>
      <c r="K101">
        <v>46.9827586206896</v>
      </c>
      <c r="L101">
        <v>1.0</v>
      </c>
      <c r="M101">
        <v>0.48</v>
      </c>
      <c r="N101">
        <v>0.43</v>
      </c>
      <c r="O101">
        <v>0.46</v>
      </c>
      <c r="P101">
        <v>506.0</v>
      </c>
      <c r="Q101" s="1" t="s">
        <v>29</v>
      </c>
    </row>
    <row r="102">
      <c r="A102" s="1">
        <v>5.0</v>
      </c>
      <c r="B102" t="s">
        <v>27</v>
      </c>
      <c r="C102">
        <v>290.0</v>
      </c>
      <c r="D102" t="s">
        <v>18</v>
      </c>
      <c r="E102" t="s">
        <v>26</v>
      </c>
      <c r="F102">
        <v>0.2</v>
      </c>
      <c r="G102" t="s">
        <v>20</v>
      </c>
      <c r="H102">
        <v>1.0E-4</v>
      </c>
      <c r="I102">
        <v>20.0</v>
      </c>
      <c r="J102">
        <v>8.0</v>
      </c>
      <c r="K102">
        <v>55.1724137931034</v>
      </c>
      <c r="L102" s="1">
        <v>1.0</v>
      </c>
      <c r="M102">
        <v>0.43</v>
      </c>
      <c r="N102">
        <v>0.48</v>
      </c>
      <c r="O102">
        <v>0.45</v>
      </c>
      <c r="P102">
        <v>21.0</v>
      </c>
      <c r="Q102" s="1" t="s">
        <v>29</v>
      </c>
    </row>
    <row r="103">
      <c r="A103" s="1">
        <v>14.0</v>
      </c>
      <c r="B103" t="s">
        <v>24</v>
      </c>
      <c r="C103">
        <v>2899.0</v>
      </c>
      <c r="D103" t="s">
        <v>18</v>
      </c>
      <c r="E103" t="s">
        <v>22</v>
      </c>
      <c r="F103">
        <v>0.4</v>
      </c>
      <c r="G103" t="s">
        <v>20</v>
      </c>
      <c r="H103">
        <v>1.0E-4</v>
      </c>
      <c r="I103">
        <v>20.0</v>
      </c>
      <c r="J103">
        <v>200.0</v>
      </c>
      <c r="K103">
        <v>54.4827586206896</v>
      </c>
      <c r="L103">
        <v>1.0</v>
      </c>
      <c r="M103">
        <v>0.29</v>
      </c>
      <c r="N103">
        <v>0.67</v>
      </c>
      <c r="O103">
        <v>0.4</v>
      </c>
      <c r="P103">
        <v>49.0</v>
      </c>
      <c r="Q103" s="1" t="s">
        <v>29</v>
      </c>
    </row>
    <row r="104">
      <c r="A104" s="1">
        <v>13.0</v>
      </c>
      <c r="B104" t="s">
        <v>27</v>
      </c>
      <c r="C104">
        <v>2899.0</v>
      </c>
      <c r="D104" t="s">
        <v>18</v>
      </c>
      <c r="E104" t="s">
        <v>22</v>
      </c>
      <c r="F104">
        <v>0.4</v>
      </c>
      <c r="G104" t="s">
        <v>20</v>
      </c>
      <c r="H104">
        <v>1.0E-4</v>
      </c>
      <c r="I104">
        <v>20.0</v>
      </c>
      <c r="J104">
        <v>200.0</v>
      </c>
      <c r="K104">
        <v>54.4827586206896</v>
      </c>
      <c r="L104">
        <v>1.0</v>
      </c>
      <c r="M104">
        <v>0.29</v>
      </c>
      <c r="N104">
        <v>0.67</v>
      </c>
      <c r="O104">
        <v>0.4</v>
      </c>
      <c r="P104">
        <v>49.0</v>
      </c>
      <c r="Q104" s="1" t="s">
        <v>29</v>
      </c>
    </row>
    <row r="105">
      <c r="A105" s="1">
        <v>6.0</v>
      </c>
      <c r="B105" t="s">
        <v>27</v>
      </c>
      <c r="C105">
        <v>290.0</v>
      </c>
      <c r="D105" t="s">
        <v>18</v>
      </c>
      <c r="E105" t="s">
        <v>52</v>
      </c>
      <c r="F105">
        <v>0.2</v>
      </c>
      <c r="G105" t="s">
        <v>20</v>
      </c>
      <c r="H105">
        <v>1.0E-4</v>
      </c>
      <c r="I105">
        <v>20.0</v>
      </c>
      <c r="J105">
        <v>8.0</v>
      </c>
      <c r="K105">
        <v>46.551724137931</v>
      </c>
      <c r="L105" s="1">
        <v>1.0</v>
      </c>
      <c r="M105">
        <v>0.28</v>
      </c>
      <c r="N105">
        <v>0.62</v>
      </c>
      <c r="O105">
        <v>0.38</v>
      </c>
      <c r="P105">
        <v>8.0</v>
      </c>
      <c r="Q105" s="1" t="s">
        <v>32</v>
      </c>
    </row>
    <row r="106">
      <c r="A106" s="1">
        <v>6.0</v>
      </c>
      <c r="B106" t="s">
        <v>27</v>
      </c>
      <c r="C106">
        <v>290.0</v>
      </c>
      <c r="D106" t="s">
        <v>18</v>
      </c>
      <c r="E106" t="s">
        <v>52</v>
      </c>
      <c r="F106">
        <v>0.2</v>
      </c>
      <c r="G106" t="s">
        <v>20</v>
      </c>
      <c r="H106">
        <v>1.0E-4</v>
      </c>
      <c r="I106">
        <v>20.0</v>
      </c>
      <c r="J106">
        <v>8.0</v>
      </c>
      <c r="K106">
        <v>46.551724137931</v>
      </c>
      <c r="L106" s="1">
        <v>1.0</v>
      </c>
      <c r="M106">
        <v>0.35</v>
      </c>
      <c r="N106">
        <v>0.42</v>
      </c>
      <c r="O106">
        <v>0.38</v>
      </c>
      <c r="P106">
        <v>19.0</v>
      </c>
      <c r="Q106" s="1" t="s">
        <v>29</v>
      </c>
    </row>
    <row r="107">
      <c r="A107" s="1">
        <v>8.0</v>
      </c>
      <c r="B107" t="s">
        <v>27</v>
      </c>
      <c r="C107">
        <v>2899.0</v>
      </c>
      <c r="D107" t="s">
        <v>18</v>
      </c>
      <c r="E107" t="s">
        <v>26</v>
      </c>
      <c r="F107">
        <v>0.2</v>
      </c>
      <c r="G107" t="s">
        <v>20</v>
      </c>
      <c r="H107">
        <v>1.0E-4</v>
      </c>
      <c r="I107">
        <v>50.0</v>
      </c>
      <c r="J107">
        <v>50.0</v>
      </c>
      <c r="K107">
        <v>53.4482758620689</v>
      </c>
      <c r="L107">
        <v>1.0</v>
      </c>
      <c r="M107">
        <v>0.25</v>
      </c>
      <c r="N107">
        <v>0.69</v>
      </c>
      <c r="O107">
        <v>0.37</v>
      </c>
      <c r="P107">
        <v>65.0</v>
      </c>
      <c r="Q107" s="1" t="s">
        <v>32</v>
      </c>
    </row>
    <row r="108">
      <c r="A108" s="1">
        <v>11.0</v>
      </c>
      <c r="B108" t="s">
        <v>27</v>
      </c>
      <c r="C108">
        <v>5798.0</v>
      </c>
      <c r="D108" t="s">
        <v>18</v>
      </c>
      <c r="E108" t="s">
        <v>26</v>
      </c>
      <c r="F108">
        <v>0.2</v>
      </c>
      <c r="G108" t="s">
        <v>20</v>
      </c>
      <c r="H108">
        <v>1.0E-5</v>
      </c>
      <c r="I108">
        <v>40.0</v>
      </c>
      <c r="J108">
        <v>200.0</v>
      </c>
      <c r="K108">
        <v>52.2413793103448</v>
      </c>
      <c r="L108">
        <v>1.0</v>
      </c>
      <c r="M108">
        <v>0.17</v>
      </c>
      <c r="N108">
        <v>0.73</v>
      </c>
      <c r="O108">
        <v>0.27</v>
      </c>
      <c r="P108">
        <v>41.0</v>
      </c>
      <c r="Q108" s="1" t="s">
        <v>32</v>
      </c>
    </row>
    <row r="109">
      <c r="A109" s="1">
        <v>10.0</v>
      </c>
      <c r="B109" t="s">
        <v>27</v>
      </c>
      <c r="C109">
        <v>5798.0</v>
      </c>
      <c r="D109" t="s">
        <v>18</v>
      </c>
      <c r="E109" t="s">
        <v>26</v>
      </c>
      <c r="F109">
        <v>0.1</v>
      </c>
      <c r="G109" t="s">
        <v>20</v>
      </c>
      <c r="H109">
        <v>0.001</v>
      </c>
      <c r="I109">
        <v>25.0</v>
      </c>
      <c r="J109">
        <v>100.0</v>
      </c>
      <c r="K109">
        <v>46.9827586206896</v>
      </c>
      <c r="L109">
        <v>1.0</v>
      </c>
      <c r="M109">
        <v>0.07</v>
      </c>
      <c r="N109">
        <v>0.7</v>
      </c>
      <c r="O109">
        <v>0.13</v>
      </c>
      <c r="P109">
        <v>37.0</v>
      </c>
      <c r="Q109" s="1" t="s">
        <v>32</v>
      </c>
    </row>
  </sheetData>
  <autoFilter ref="$A$1:$Q$10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43"/>
    <col customWidth="1" min="5" max="5" width="17.86"/>
    <col customWidth="1" min="10" max="10" width="12.29"/>
    <col customWidth="1" min="11" max="11" width="11.29"/>
  </cols>
  <sheetData>
    <row r="1" hidden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11</v>
      </c>
      <c r="H1" s="2" t="s">
        <v>10</v>
      </c>
      <c r="I1" s="4" t="s">
        <v>12</v>
      </c>
      <c r="J1" s="2" t="s">
        <v>13</v>
      </c>
      <c r="K1" s="2" t="s">
        <v>14</v>
      </c>
      <c r="L1" s="4" t="s">
        <v>15</v>
      </c>
      <c r="M1" s="4" t="s">
        <v>16</v>
      </c>
      <c r="N1" s="6"/>
      <c r="O1" s="2"/>
      <c r="P1" s="2"/>
      <c r="Q1" s="2"/>
      <c r="R1" s="2"/>
      <c r="S1" s="6"/>
      <c r="T1" s="6"/>
      <c r="U1" s="6"/>
    </row>
    <row r="2" hidden="1">
      <c r="A2" s="8">
        <v>4.0</v>
      </c>
      <c r="B2" s="8" t="s">
        <v>27</v>
      </c>
      <c r="C2" s="8">
        <v>1450.0</v>
      </c>
      <c r="D2" s="8" t="s">
        <v>28</v>
      </c>
      <c r="E2" s="8">
        <v>30.0</v>
      </c>
      <c r="F2" s="8">
        <v>20.0</v>
      </c>
      <c r="G2" s="1">
        <v>1.0</v>
      </c>
      <c r="H2" s="8">
        <v>56.5517</v>
      </c>
      <c r="I2" s="10">
        <v>0.5</v>
      </c>
      <c r="J2" s="10">
        <v>0.5</v>
      </c>
      <c r="K2" s="10">
        <v>0.5</v>
      </c>
      <c r="L2">
        <v>115.0</v>
      </c>
      <c r="M2" s="1" t="s">
        <v>29</v>
      </c>
      <c r="O2" s="8"/>
      <c r="P2" s="8"/>
      <c r="Q2" s="8"/>
      <c r="R2" s="8"/>
    </row>
    <row r="3" hidden="1">
      <c r="A3" s="8">
        <v>4.0</v>
      </c>
      <c r="B3" s="8" t="s">
        <v>27</v>
      </c>
      <c r="C3" s="8">
        <v>1450.0</v>
      </c>
      <c r="D3" s="8" t="s">
        <v>28</v>
      </c>
      <c r="E3" s="8">
        <v>30.0</v>
      </c>
      <c r="F3" s="8">
        <v>20.0</v>
      </c>
      <c r="G3" s="1">
        <v>1.0</v>
      </c>
      <c r="H3" s="8">
        <v>56.5517</v>
      </c>
      <c r="I3" s="10">
        <v>0.59</v>
      </c>
      <c r="J3" s="10">
        <v>0.62</v>
      </c>
      <c r="K3" s="10">
        <v>0.6</v>
      </c>
      <c r="L3">
        <v>86.0</v>
      </c>
      <c r="M3" s="1" t="s">
        <v>32</v>
      </c>
      <c r="O3" s="8"/>
      <c r="P3" s="8"/>
      <c r="Q3" s="8"/>
      <c r="R3" s="8"/>
      <c r="S3" s="8"/>
    </row>
    <row r="4" hidden="1">
      <c r="A4" s="8">
        <v>4.0</v>
      </c>
      <c r="B4" s="8" t="s">
        <v>27</v>
      </c>
      <c r="C4" s="8">
        <v>1450.0</v>
      </c>
      <c r="D4" s="8" t="s">
        <v>28</v>
      </c>
      <c r="E4" s="8">
        <v>30.0</v>
      </c>
      <c r="F4" s="8">
        <v>20.0</v>
      </c>
      <c r="G4" s="1">
        <v>1.0</v>
      </c>
      <c r="H4" s="8">
        <v>56.5517</v>
      </c>
      <c r="I4" s="10">
        <v>0.62</v>
      </c>
      <c r="J4" s="10">
        <v>0.6</v>
      </c>
      <c r="K4" s="10">
        <v>0.61</v>
      </c>
      <c r="L4">
        <v>89.0</v>
      </c>
      <c r="M4" s="1" t="s">
        <v>21</v>
      </c>
      <c r="O4" s="8"/>
      <c r="P4" s="8"/>
      <c r="Q4" s="8"/>
      <c r="R4" s="8"/>
      <c r="S4" s="8"/>
    </row>
    <row r="5" hidden="1">
      <c r="I5" s="10">
        <f t="shared" ref="I5:K5" si="1">AVERAGE(I2:I4)</f>
        <v>0.57</v>
      </c>
      <c r="J5" s="10">
        <f t="shared" si="1"/>
        <v>0.5733333333</v>
      </c>
      <c r="K5" s="10">
        <f t="shared" si="1"/>
        <v>0.57</v>
      </c>
      <c r="L5">
        <f>SUM(L2:L4)</f>
        <v>290</v>
      </c>
      <c r="O5" s="11"/>
      <c r="P5" s="11"/>
      <c r="Q5" s="11"/>
      <c r="R5" s="11"/>
    </row>
    <row r="6" hidden="1"/>
    <row r="7" hidden="1"/>
    <row r="8" hidden="1"/>
    <row r="9" hidden="1"/>
    <row r="10" hidden="1">
      <c r="B10" s="1" t="s">
        <v>0</v>
      </c>
      <c r="C10" s="1" t="s">
        <v>1</v>
      </c>
      <c r="D10" s="1" t="s">
        <v>2</v>
      </c>
      <c r="E10" s="1" t="s">
        <v>7</v>
      </c>
      <c r="F10" s="1" t="s">
        <v>8</v>
      </c>
      <c r="G10" s="1" t="s">
        <v>9</v>
      </c>
      <c r="H10" s="1" t="s">
        <v>11</v>
      </c>
      <c r="I10" s="1" t="s">
        <v>10</v>
      </c>
    </row>
    <row r="11" hidden="1">
      <c r="B11" s="1">
        <v>4.0</v>
      </c>
      <c r="C11" s="1" t="s">
        <v>27</v>
      </c>
      <c r="D11" s="1">
        <v>1450.0</v>
      </c>
      <c r="E11" s="1">
        <v>1.0E-4</v>
      </c>
      <c r="F11" s="1">
        <v>30.0</v>
      </c>
      <c r="G11" s="1">
        <v>20.0</v>
      </c>
      <c r="H11" s="1">
        <v>1.0</v>
      </c>
      <c r="I11" s="1">
        <v>56.5517</v>
      </c>
    </row>
    <row r="12">
      <c r="A12" s="12" t="s">
        <v>38</v>
      </c>
    </row>
    <row r="13">
      <c r="B13" s="14" t="s">
        <v>0</v>
      </c>
      <c r="C13" s="15">
        <v>4.0</v>
      </c>
    </row>
    <row r="14">
      <c r="B14" s="14" t="s">
        <v>1</v>
      </c>
      <c r="C14" s="15" t="s">
        <v>27</v>
      </c>
    </row>
    <row r="15">
      <c r="B15" s="14" t="s">
        <v>2</v>
      </c>
      <c r="C15" s="15">
        <v>1450.0</v>
      </c>
    </row>
    <row r="16">
      <c r="B16" s="14" t="s">
        <v>3</v>
      </c>
      <c r="C16" s="15" t="s">
        <v>28</v>
      </c>
    </row>
    <row r="17">
      <c r="B17" s="14" t="s">
        <v>4</v>
      </c>
      <c r="C17" s="15" t="s">
        <v>26</v>
      </c>
    </row>
    <row r="18">
      <c r="B18" s="14" t="s">
        <v>5</v>
      </c>
      <c r="C18" s="15">
        <v>0.2</v>
      </c>
    </row>
    <row r="19">
      <c r="B19" s="14" t="s">
        <v>6</v>
      </c>
      <c r="C19" s="15" t="s">
        <v>20</v>
      </c>
      <c r="E19" s="14" t="s">
        <v>16</v>
      </c>
      <c r="F19" s="14" t="s">
        <v>12</v>
      </c>
      <c r="G19" s="14" t="s">
        <v>13</v>
      </c>
      <c r="H19" s="14" t="s">
        <v>14</v>
      </c>
      <c r="I19" s="14" t="s">
        <v>15</v>
      </c>
    </row>
    <row r="20">
      <c r="B20" s="14" t="s">
        <v>7</v>
      </c>
      <c r="C20" s="15">
        <v>1.0E-4</v>
      </c>
      <c r="E20" s="16" t="s">
        <v>29</v>
      </c>
      <c r="F20" s="17">
        <v>0.5</v>
      </c>
      <c r="G20" s="17">
        <v>0.5</v>
      </c>
      <c r="H20" s="17">
        <v>0.5</v>
      </c>
      <c r="I20" s="18">
        <v>115.0</v>
      </c>
    </row>
    <row r="21">
      <c r="B21" s="14" t="s">
        <v>8</v>
      </c>
      <c r="C21" s="15">
        <v>30.0</v>
      </c>
      <c r="E21" s="19" t="s">
        <v>32</v>
      </c>
      <c r="F21" s="17">
        <v>0.59</v>
      </c>
      <c r="G21" s="17">
        <v>0.62</v>
      </c>
      <c r="H21" s="17">
        <v>0.6</v>
      </c>
      <c r="I21" s="18">
        <v>86.0</v>
      </c>
    </row>
    <row r="22">
      <c r="B22" s="14" t="s">
        <v>9</v>
      </c>
      <c r="C22" s="15">
        <v>20.0</v>
      </c>
      <c r="E22" s="20" t="s">
        <v>21</v>
      </c>
      <c r="F22" s="17">
        <v>0.62</v>
      </c>
      <c r="G22" s="17">
        <v>0.6</v>
      </c>
      <c r="H22" s="17">
        <v>0.61</v>
      </c>
      <c r="I22" s="18">
        <v>89.0</v>
      </c>
    </row>
    <row r="23">
      <c r="B23" s="14" t="s">
        <v>11</v>
      </c>
      <c r="C23" s="15">
        <v>1.0</v>
      </c>
      <c r="E23" s="14" t="s">
        <v>45</v>
      </c>
      <c r="F23" s="17">
        <f t="shared" ref="F23:H23" si="2">AVERAGE(F20:F22)</f>
        <v>0.57</v>
      </c>
      <c r="G23" s="17">
        <f t="shared" si="2"/>
        <v>0.5733333333</v>
      </c>
      <c r="H23" s="17">
        <f t="shared" si="2"/>
        <v>0.57</v>
      </c>
      <c r="I23" s="18">
        <f>SUM(I20:I22)</f>
        <v>290</v>
      </c>
    </row>
    <row r="24">
      <c r="B24" s="14" t="s">
        <v>10</v>
      </c>
      <c r="C24" s="15">
        <v>56.5517</v>
      </c>
    </row>
    <row r="26">
      <c r="A26" s="12" t="s">
        <v>21</v>
      </c>
    </row>
    <row r="27">
      <c r="B27" s="14" t="s">
        <v>0</v>
      </c>
      <c r="C27" s="15">
        <v>32.0</v>
      </c>
    </row>
    <row r="28">
      <c r="B28" s="14" t="s">
        <v>1</v>
      </c>
      <c r="C28" s="15" t="s">
        <v>17</v>
      </c>
    </row>
    <row r="29">
      <c r="B29" s="14" t="s">
        <v>2</v>
      </c>
      <c r="C29" s="15">
        <v>10147.0</v>
      </c>
    </row>
    <row r="30">
      <c r="B30" s="14" t="s">
        <v>3</v>
      </c>
      <c r="C30" s="15" t="s">
        <v>18</v>
      </c>
      <c r="E30" s="22" t="s">
        <v>16</v>
      </c>
      <c r="F30" s="14" t="s">
        <v>12</v>
      </c>
      <c r="G30" s="14" t="s">
        <v>13</v>
      </c>
      <c r="H30" s="14" t="s">
        <v>14</v>
      </c>
      <c r="I30" s="14" t="s">
        <v>15</v>
      </c>
    </row>
    <row r="31">
      <c r="B31" s="14" t="s">
        <v>4</v>
      </c>
      <c r="C31" s="15" t="s">
        <v>19</v>
      </c>
      <c r="E31" s="16" t="s">
        <v>29</v>
      </c>
      <c r="F31" s="17">
        <v>0.66</v>
      </c>
      <c r="G31" s="17">
        <v>0.64</v>
      </c>
      <c r="H31" s="17">
        <v>0.65</v>
      </c>
      <c r="I31" s="18">
        <v>415.0</v>
      </c>
    </row>
    <row r="32">
      <c r="B32" s="14" t="s">
        <v>5</v>
      </c>
      <c r="C32" s="15">
        <v>0.4</v>
      </c>
      <c r="E32" s="19" t="s">
        <v>32</v>
      </c>
      <c r="F32" s="17">
        <v>0.58</v>
      </c>
      <c r="G32" s="17">
        <v>0.75</v>
      </c>
      <c r="H32" s="17">
        <v>0.65</v>
      </c>
      <c r="I32" s="18">
        <v>245.0</v>
      </c>
    </row>
    <row r="33">
      <c r="B33" s="14" t="s">
        <v>6</v>
      </c>
      <c r="C33" s="15" t="s">
        <v>20</v>
      </c>
      <c r="E33" s="20" t="s">
        <v>21</v>
      </c>
      <c r="F33" s="23">
        <v>0.88</v>
      </c>
      <c r="G33" s="23">
        <v>0.74</v>
      </c>
      <c r="H33" s="23">
        <v>0.81</v>
      </c>
      <c r="I33" s="18">
        <v>355.0</v>
      </c>
    </row>
    <row r="34">
      <c r="B34" s="14" t="s">
        <v>7</v>
      </c>
      <c r="C34" s="15">
        <v>1.0E-4</v>
      </c>
      <c r="E34" s="14" t="s">
        <v>45</v>
      </c>
      <c r="F34" s="17">
        <f t="shared" ref="F34:H34" si="3">AVERAGE(F31:F33)</f>
        <v>0.7066666667</v>
      </c>
      <c r="G34" s="17">
        <f t="shared" si="3"/>
        <v>0.71</v>
      </c>
      <c r="H34" s="17">
        <f t="shared" si="3"/>
        <v>0.7033333333</v>
      </c>
      <c r="I34" s="18">
        <f>SUM(I31:I33)</f>
        <v>1015</v>
      </c>
    </row>
    <row r="35">
      <c r="B35" s="14" t="s">
        <v>8</v>
      </c>
      <c r="C35" s="15">
        <v>15.0</v>
      </c>
    </row>
    <row r="36">
      <c r="B36" s="14" t="s">
        <v>9</v>
      </c>
      <c r="C36" s="15">
        <v>16.0</v>
      </c>
    </row>
    <row r="37">
      <c r="B37" s="14" t="s">
        <v>10</v>
      </c>
      <c r="C37" s="15">
        <v>69.9507389162561</v>
      </c>
    </row>
    <row r="38">
      <c r="B38" s="14" t="s">
        <v>11</v>
      </c>
      <c r="C38" s="15">
        <v>100.0</v>
      </c>
    </row>
    <row r="40">
      <c r="A40" s="24" t="s">
        <v>29</v>
      </c>
    </row>
    <row r="41">
      <c r="B41" s="14" t="s">
        <v>0</v>
      </c>
      <c r="C41" s="15">
        <v>37.0</v>
      </c>
    </row>
    <row r="42">
      <c r="B42" s="14" t="s">
        <v>1</v>
      </c>
      <c r="C42" s="15" t="s">
        <v>24</v>
      </c>
    </row>
    <row r="43">
      <c r="B43" s="14" t="s">
        <v>2</v>
      </c>
      <c r="C43" s="15">
        <v>11596.0</v>
      </c>
    </row>
    <row r="44">
      <c r="B44" s="14" t="s">
        <v>3</v>
      </c>
      <c r="C44" s="15" t="s">
        <v>18</v>
      </c>
      <c r="E44" s="22" t="s">
        <v>16</v>
      </c>
      <c r="F44" s="14" t="s">
        <v>12</v>
      </c>
      <c r="G44" s="14" t="s">
        <v>13</v>
      </c>
      <c r="H44" s="14" t="s">
        <v>14</v>
      </c>
      <c r="I44" s="14" t="s">
        <v>15</v>
      </c>
    </row>
    <row r="45">
      <c r="B45" s="14" t="s">
        <v>4</v>
      </c>
      <c r="C45" s="15" t="s">
        <v>19</v>
      </c>
      <c r="E45" s="16" t="s">
        <v>29</v>
      </c>
      <c r="F45" s="25">
        <v>0.71</v>
      </c>
      <c r="G45" s="25">
        <v>0.66</v>
      </c>
      <c r="H45" s="25">
        <v>0.69</v>
      </c>
      <c r="I45" s="18">
        <v>388.0</v>
      </c>
    </row>
    <row r="46">
      <c r="B46" s="14" t="s">
        <v>5</v>
      </c>
      <c r="C46" s="15">
        <v>0.45</v>
      </c>
      <c r="E46" s="19" t="s">
        <v>32</v>
      </c>
      <c r="F46" s="17">
        <v>0.49</v>
      </c>
      <c r="G46" s="17">
        <v>0.68</v>
      </c>
      <c r="H46" s="17">
        <v>0.57</v>
      </c>
      <c r="I46" s="18">
        <v>329.0</v>
      </c>
    </row>
    <row r="47">
      <c r="B47" s="14" t="s">
        <v>6</v>
      </c>
      <c r="C47" s="15" t="s">
        <v>20</v>
      </c>
      <c r="E47" s="20" t="s">
        <v>21</v>
      </c>
      <c r="F47" s="23">
        <v>0.92</v>
      </c>
      <c r="G47" s="23">
        <v>0.71</v>
      </c>
      <c r="H47" s="23">
        <v>0.8</v>
      </c>
      <c r="I47" s="18">
        <v>443.0</v>
      </c>
    </row>
    <row r="48">
      <c r="B48" s="14" t="s">
        <v>7</v>
      </c>
      <c r="C48" s="15">
        <v>1.0E-4</v>
      </c>
      <c r="E48" s="14" t="s">
        <v>45</v>
      </c>
      <c r="F48" s="17">
        <f t="shared" ref="F48:H48" si="4">AVERAGE(F45:F47)</f>
        <v>0.7066666667</v>
      </c>
      <c r="G48" s="17">
        <f t="shared" si="4"/>
        <v>0.6833333333</v>
      </c>
      <c r="H48" s="17">
        <f t="shared" si="4"/>
        <v>0.6866666667</v>
      </c>
      <c r="I48" s="18">
        <f>SUM(I45:I47)</f>
        <v>1160</v>
      </c>
    </row>
    <row r="49">
      <c r="B49" s="14" t="s">
        <v>8</v>
      </c>
      <c r="C49" s="15">
        <v>15.0</v>
      </c>
    </row>
    <row r="50">
      <c r="B50" s="14" t="s">
        <v>9</v>
      </c>
      <c r="C50" s="15">
        <v>16.0</v>
      </c>
    </row>
    <row r="51">
      <c r="B51" s="14" t="s">
        <v>10</v>
      </c>
      <c r="C51" s="15">
        <v>68.3620689655172</v>
      </c>
    </row>
    <row r="52">
      <c r="B52" s="14" t="s">
        <v>11</v>
      </c>
      <c r="C52" s="15">
        <v>100.0</v>
      </c>
    </row>
    <row r="54">
      <c r="A54" s="12" t="s">
        <v>32</v>
      </c>
    </row>
    <row r="55">
      <c r="B55" s="14" t="s">
        <v>0</v>
      </c>
      <c r="C55" s="15">
        <v>30.0</v>
      </c>
    </row>
    <row r="56">
      <c r="B56" s="14" t="s">
        <v>1</v>
      </c>
      <c r="C56" s="15" t="s">
        <v>17</v>
      </c>
    </row>
    <row r="57">
      <c r="B57" s="14" t="s">
        <v>2</v>
      </c>
      <c r="C57" s="15">
        <v>10147.0</v>
      </c>
    </row>
    <row r="58">
      <c r="B58" s="14" t="s">
        <v>3</v>
      </c>
      <c r="C58" s="15" t="s">
        <v>18</v>
      </c>
      <c r="E58" s="22" t="s">
        <v>16</v>
      </c>
      <c r="F58" s="14" t="s">
        <v>12</v>
      </c>
      <c r="G58" s="14" t="s">
        <v>13</v>
      </c>
      <c r="H58" s="14" t="s">
        <v>14</v>
      </c>
      <c r="I58" s="14" t="s">
        <v>15</v>
      </c>
    </row>
    <row r="59">
      <c r="B59" s="14" t="s">
        <v>4</v>
      </c>
      <c r="C59" s="15" t="s">
        <v>26</v>
      </c>
      <c r="E59" s="16" t="s">
        <v>29</v>
      </c>
      <c r="F59" s="17">
        <v>0.57</v>
      </c>
      <c r="G59" s="17">
        <v>0.62</v>
      </c>
      <c r="H59" s="17">
        <v>0.59</v>
      </c>
      <c r="I59" s="18">
        <v>371.0</v>
      </c>
    </row>
    <row r="60">
      <c r="B60" s="14" t="s">
        <v>5</v>
      </c>
      <c r="C60" s="15">
        <v>0.4</v>
      </c>
      <c r="E60" s="19" t="s">
        <v>32</v>
      </c>
      <c r="F60" s="25">
        <v>0.75</v>
      </c>
      <c r="G60" s="25">
        <v>0.67</v>
      </c>
      <c r="H60" s="25">
        <v>0.71</v>
      </c>
      <c r="I60" s="18">
        <v>354.0</v>
      </c>
    </row>
    <row r="61">
      <c r="B61" s="14" t="s">
        <v>6</v>
      </c>
      <c r="C61" s="15" t="s">
        <v>34</v>
      </c>
      <c r="E61" s="20" t="s">
        <v>21</v>
      </c>
      <c r="F61" s="23">
        <v>0.76</v>
      </c>
      <c r="G61" s="23">
        <v>0.78</v>
      </c>
      <c r="H61" s="23">
        <v>0.77</v>
      </c>
      <c r="I61" s="18">
        <v>290.0</v>
      </c>
    </row>
    <row r="62">
      <c r="B62" s="14" t="s">
        <v>7</v>
      </c>
      <c r="C62" s="15">
        <v>1.0E-4</v>
      </c>
      <c r="E62" s="14" t="s">
        <v>45</v>
      </c>
      <c r="F62" s="17">
        <f t="shared" ref="F62:H62" si="5">AVERAGE(F59:F61)</f>
        <v>0.6933333333</v>
      </c>
      <c r="G62" s="17">
        <f t="shared" si="5"/>
        <v>0.69</v>
      </c>
      <c r="H62" s="17">
        <f t="shared" si="5"/>
        <v>0.69</v>
      </c>
      <c r="I62" s="18">
        <f>SUM(I59:I61)</f>
        <v>1015</v>
      </c>
    </row>
    <row r="63">
      <c r="B63" s="14" t="s">
        <v>8</v>
      </c>
      <c r="C63" s="15">
        <v>15.0</v>
      </c>
    </row>
    <row r="64">
      <c r="B64" s="14" t="s">
        <v>9</v>
      </c>
      <c r="C64" s="15">
        <v>16.0</v>
      </c>
    </row>
    <row r="65">
      <c r="B65" s="14" t="s">
        <v>10</v>
      </c>
      <c r="C65" s="15">
        <v>68.1773399014778</v>
      </c>
    </row>
    <row r="66">
      <c r="B66" s="14" t="s">
        <v>11</v>
      </c>
      <c r="C66" s="15">
        <v>100.0</v>
      </c>
    </row>
  </sheetData>
  <mergeCells count="9">
    <mergeCell ref="E41:I43"/>
    <mergeCell ref="E35:I38"/>
    <mergeCell ref="E63:I66"/>
    <mergeCell ref="D55:D66"/>
    <mergeCell ref="E55:I57"/>
    <mergeCell ref="D41:D52"/>
    <mergeCell ref="E49:I52"/>
    <mergeCell ref="D27:D38"/>
    <mergeCell ref="E27:I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hidden="1" min="2" max="2" width="23.43"/>
    <col customWidth="1" min="3" max="3" width="23.43"/>
    <col customWidth="1" min="4" max="4" width="16.43"/>
    <col customWidth="1" min="5" max="5" width="16.0"/>
    <col customWidth="1" min="6" max="6" width="15.29"/>
    <col customWidth="1" min="7" max="7" width="11.71"/>
    <col customWidth="1" min="8" max="8" width="18.43"/>
    <col customWidth="1" min="9" max="9" width="16.86"/>
    <col customWidth="1" min="10" max="10" width="11.14"/>
    <col customWidth="1" min="11" max="11" width="14.43"/>
    <col customWidth="1" min="12" max="12" width="17.57"/>
    <col customWidth="1" min="13" max="13" width="11.0"/>
    <col customWidth="1" hidden="1" min="14" max="14" width="9.29"/>
    <col customWidth="1" min="15" max="15" width="13.14"/>
    <col customWidth="1" min="16" max="16" width="9.29"/>
    <col customWidth="1" min="17" max="17" width="12.0"/>
    <col customWidth="1" min="18" max="18" width="11.57"/>
    <col customWidth="1" min="19" max="19" width="28.43"/>
  </cols>
  <sheetData>
    <row r="1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 t="s">
        <v>14</v>
      </c>
      <c r="R1" s="3" t="s">
        <v>15</v>
      </c>
      <c r="S1" s="7" t="s">
        <v>16</v>
      </c>
      <c r="T1" s="6"/>
      <c r="U1" s="6"/>
      <c r="V1" s="6"/>
      <c r="W1" s="6"/>
      <c r="X1" s="6"/>
      <c r="Y1" s="6"/>
      <c r="Z1" s="6"/>
      <c r="AA1" s="6"/>
    </row>
    <row r="2">
      <c r="A2" s="9">
        <v>39.0</v>
      </c>
      <c r="B2" s="9"/>
      <c r="C2" s="9" t="s">
        <v>24</v>
      </c>
      <c r="D2" s="9">
        <v>11596.0</v>
      </c>
      <c r="E2" s="9" t="s">
        <v>18</v>
      </c>
      <c r="F2" s="9" t="s">
        <v>30</v>
      </c>
      <c r="G2" s="9">
        <v>0.45</v>
      </c>
      <c r="H2" s="9" t="s">
        <v>20</v>
      </c>
      <c r="I2" s="9">
        <v>1.0E-4</v>
      </c>
      <c r="J2" s="9">
        <v>15.0</v>
      </c>
      <c r="K2" s="9">
        <v>16.0</v>
      </c>
      <c r="L2" s="9">
        <v>68.2758620689655</v>
      </c>
      <c r="M2" s="9">
        <v>100.0</v>
      </c>
      <c r="N2" s="8" t="s">
        <v>31</v>
      </c>
      <c r="O2" s="9">
        <f t="shared" ref="O2:O10" si="1">IFERROR(__xludf.DUMMYFUNCTION("split(N2,"" "")"),"0.73")</f>
        <v>0.73</v>
      </c>
      <c r="P2" s="9">
        <f>IFERROR(__xludf.DUMMYFUNCTION("""COMPUTED_VALUE"""),"0.66")</f>
        <v>0.66</v>
      </c>
      <c r="Q2" s="9">
        <f>IFERROR(__xludf.DUMMYFUNCTION("""COMPUTED_VALUE"""),"0.69")</f>
        <v>0.69</v>
      </c>
      <c r="R2" s="9">
        <f>IFERROR(__xludf.DUMMYFUNCTION("""COMPUTED_VALUE"""),"398")</f>
        <v>398</v>
      </c>
      <c r="S2" s="9" t="s">
        <v>29</v>
      </c>
    </row>
    <row r="3">
      <c r="A3" s="9">
        <v>39.0</v>
      </c>
      <c r="B3" s="9"/>
      <c r="C3" s="9" t="s">
        <v>24</v>
      </c>
      <c r="D3" s="9">
        <v>11596.0</v>
      </c>
      <c r="E3" s="9" t="s">
        <v>18</v>
      </c>
      <c r="F3" s="9" t="s">
        <v>30</v>
      </c>
      <c r="G3" s="9">
        <v>0.45</v>
      </c>
      <c r="H3" s="9" t="s">
        <v>20</v>
      </c>
      <c r="I3" s="9">
        <v>1.0E-4</v>
      </c>
      <c r="J3" s="9">
        <v>15.0</v>
      </c>
      <c r="K3" s="9">
        <v>16.0</v>
      </c>
      <c r="L3" s="9">
        <v>68.2758620689655</v>
      </c>
      <c r="M3" s="9">
        <v>100.0</v>
      </c>
      <c r="N3" s="8" t="s">
        <v>37</v>
      </c>
      <c r="O3" s="9">
        <f t="shared" si="1"/>
        <v>0.54</v>
      </c>
      <c r="P3" s="9">
        <f>IFERROR(__xludf.DUMMYFUNCTION("""COMPUTED_VALUE"""),"0.65")</f>
        <v>0.65</v>
      </c>
      <c r="Q3" s="9">
        <f>IFERROR(__xludf.DUMMYFUNCTION("""COMPUTED_VALUE"""),"0.59")</f>
        <v>0.59</v>
      </c>
      <c r="R3" s="9">
        <f>IFERROR(__xludf.DUMMYFUNCTION("""COMPUTED_VALUE"""),"379")</f>
        <v>379</v>
      </c>
      <c r="S3" s="13" t="s">
        <v>32</v>
      </c>
    </row>
    <row r="4">
      <c r="A4" s="9">
        <v>39.0</v>
      </c>
      <c r="B4" s="9"/>
      <c r="C4" s="9" t="s">
        <v>24</v>
      </c>
      <c r="D4" s="9">
        <v>11596.0</v>
      </c>
      <c r="E4" s="9" t="s">
        <v>18</v>
      </c>
      <c r="F4" s="9" t="s">
        <v>30</v>
      </c>
      <c r="G4" s="9">
        <v>0.45</v>
      </c>
      <c r="H4" s="9" t="s">
        <v>20</v>
      </c>
      <c r="I4" s="9">
        <v>1.0E-4</v>
      </c>
      <c r="J4" s="9">
        <v>15.0</v>
      </c>
      <c r="K4" s="9">
        <v>16.0</v>
      </c>
      <c r="L4" s="9">
        <v>68.2758620689655</v>
      </c>
      <c r="M4" s="9">
        <v>100.0</v>
      </c>
      <c r="N4" s="8" t="s">
        <v>39</v>
      </c>
      <c r="O4" s="9">
        <f t="shared" si="1"/>
        <v>0.83</v>
      </c>
      <c r="P4" s="9">
        <f>IFERROR(__xludf.DUMMYFUNCTION("""COMPUTED_VALUE"""),"0.74")</f>
        <v>0.74</v>
      </c>
      <c r="Q4" s="9">
        <f>IFERROR(__xludf.DUMMYFUNCTION("""COMPUTED_VALUE"""),"0.78")</f>
        <v>0.78</v>
      </c>
      <c r="R4" s="9">
        <f>IFERROR(__xludf.DUMMYFUNCTION("""COMPUTED_VALUE"""),"383")</f>
        <v>383</v>
      </c>
      <c r="S4" s="9" t="s">
        <v>21</v>
      </c>
    </row>
    <row r="5">
      <c r="A5" s="9">
        <v>38.0</v>
      </c>
      <c r="B5" s="9"/>
      <c r="C5" s="9" t="s">
        <v>24</v>
      </c>
      <c r="D5" s="9">
        <v>11596.0</v>
      </c>
      <c r="E5" s="9" t="s">
        <v>18</v>
      </c>
      <c r="F5" s="9" t="s">
        <v>22</v>
      </c>
      <c r="G5" s="9">
        <v>0.45</v>
      </c>
      <c r="H5" s="9" t="s">
        <v>20</v>
      </c>
      <c r="I5" s="9">
        <v>1.0E-4</v>
      </c>
      <c r="J5" s="9">
        <v>15.0</v>
      </c>
      <c r="K5" s="9">
        <v>16.0</v>
      </c>
      <c r="L5" s="9">
        <v>68.1896551724138</v>
      </c>
      <c r="M5" s="9">
        <v>100.0</v>
      </c>
      <c r="N5" s="8" t="s">
        <v>41</v>
      </c>
      <c r="O5" s="9">
        <f t="shared" si="1"/>
        <v>0.66</v>
      </c>
      <c r="P5" s="9">
        <f>IFERROR(__xludf.DUMMYFUNCTION("""COMPUTED_VALUE"""),"0.68")</f>
        <v>0.68</v>
      </c>
      <c r="Q5" s="9">
        <f>IFERROR(__xludf.DUMMYFUNCTION("""COMPUTED_VALUE"""),"0.67")</f>
        <v>0.67</v>
      </c>
      <c r="R5" s="9">
        <f>IFERROR(__xludf.DUMMYFUNCTION("""COMPUTED_VALUE"""),"350")</f>
        <v>350</v>
      </c>
      <c r="S5" s="9" t="s">
        <v>29</v>
      </c>
    </row>
    <row r="6">
      <c r="A6" s="9">
        <v>38.0</v>
      </c>
      <c r="B6" s="9"/>
      <c r="C6" s="9" t="s">
        <v>24</v>
      </c>
      <c r="D6" s="9">
        <v>11596.0</v>
      </c>
      <c r="E6" s="9" t="s">
        <v>18</v>
      </c>
      <c r="F6" s="9" t="s">
        <v>22</v>
      </c>
      <c r="G6" s="9">
        <v>0.45</v>
      </c>
      <c r="H6" s="9" t="s">
        <v>20</v>
      </c>
      <c r="I6" s="9">
        <v>1.0E-4</v>
      </c>
      <c r="J6" s="9">
        <v>15.0</v>
      </c>
      <c r="K6" s="9">
        <v>16.0</v>
      </c>
      <c r="L6" s="9">
        <v>68.1896551724138</v>
      </c>
      <c r="M6" s="9">
        <v>100.0</v>
      </c>
      <c r="N6" s="8" t="s">
        <v>42</v>
      </c>
      <c r="O6" s="9">
        <f t="shared" si="1"/>
        <v>0.58</v>
      </c>
      <c r="P6" s="9">
        <f>IFERROR(__xludf.DUMMYFUNCTION("""COMPUTED_VALUE"""),"0.63")</f>
        <v>0.63</v>
      </c>
      <c r="Q6" s="9">
        <f>IFERROR(__xludf.DUMMYFUNCTION("""COMPUTED_VALUE"""),"0.61")</f>
        <v>0.61</v>
      </c>
      <c r="R6" s="9">
        <f>IFERROR(__xludf.DUMMYFUNCTION("""COMPUTED_VALUE"""),"426")</f>
        <v>426</v>
      </c>
      <c r="S6" s="13" t="s">
        <v>32</v>
      </c>
    </row>
    <row r="7">
      <c r="A7" s="9">
        <v>38.0</v>
      </c>
      <c r="B7" s="9"/>
      <c r="C7" s="9" t="s">
        <v>24</v>
      </c>
      <c r="D7" s="9">
        <v>11596.0</v>
      </c>
      <c r="E7" s="9" t="s">
        <v>18</v>
      </c>
      <c r="F7" s="9" t="s">
        <v>22</v>
      </c>
      <c r="G7" s="9">
        <v>0.45</v>
      </c>
      <c r="H7" s="9" t="s">
        <v>20</v>
      </c>
      <c r="I7" s="9">
        <v>1.0E-4</v>
      </c>
      <c r="J7" s="9">
        <v>15.0</v>
      </c>
      <c r="K7" s="9">
        <v>16.0</v>
      </c>
      <c r="L7" s="9">
        <v>68.1896551724138</v>
      </c>
      <c r="M7" s="9">
        <v>100.0</v>
      </c>
      <c r="N7" s="8" t="s">
        <v>43</v>
      </c>
      <c r="O7" s="9">
        <f t="shared" si="1"/>
        <v>0.84</v>
      </c>
      <c r="P7" s="9">
        <f>IFERROR(__xludf.DUMMYFUNCTION("""COMPUTED_VALUE"""),"0.74")</f>
        <v>0.74</v>
      </c>
      <c r="Q7" s="9">
        <f>IFERROR(__xludf.DUMMYFUNCTION("""COMPUTED_VALUE"""),"0.79")</f>
        <v>0.79</v>
      </c>
      <c r="R7" s="9">
        <f>IFERROR(__xludf.DUMMYFUNCTION("""COMPUTED_VALUE"""),"384")</f>
        <v>384</v>
      </c>
      <c r="S7" s="9" t="s">
        <v>21</v>
      </c>
    </row>
    <row r="8">
      <c r="A8" s="9">
        <v>37.0</v>
      </c>
      <c r="B8" s="9"/>
      <c r="C8" s="9" t="s">
        <v>24</v>
      </c>
      <c r="D8" s="9">
        <v>11596.0</v>
      </c>
      <c r="E8" s="9" t="s">
        <v>18</v>
      </c>
      <c r="F8" s="9" t="s">
        <v>40</v>
      </c>
      <c r="G8" s="9">
        <v>0.45</v>
      </c>
      <c r="H8" s="9" t="s">
        <v>20</v>
      </c>
      <c r="I8" s="9">
        <v>1.0E-4</v>
      </c>
      <c r="J8" s="9">
        <v>15.0</v>
      </c>
      <c r="K8" s="9">
        <v>16.0</v>
      </c>
      <c r="L8" s="9">
        <v>68.3620689655172</v>
      </c>
      <c r="M8" s="9">
        <v>100.0</v>
      </c>
      <c r="N8" s="8" t="s">
        <v>44</v>
      </c>
      <c r="O8" s="9">
        <f t="shared" si="1"/>
        <v>0.71</v>
      </c>
      <c r="P8" s="9">
        <f>IFERROR(__xludf.DUMMYFUNCTION("""COMPUTED_VALUE"""),"0.66")</f>
        <v>0.66</v>
      </c>
      <c r="Q8" s="9">
        <f>IFERROR(__xludf.DUMMYFUNCTION("""COMPUTED_VALUE"""),"0.69")</f>
        <v>0.69</v>
      </c>
      <c r="R8" s="21">
        <f>IFERROR(__xludf.DUMMYFUNCTION("""COMPUTED_VALUE"""),"388")</f>
        <v>388</v>
      </c>
      <c r="S8" s="9" t="s">
        <v>29</v>
      </c>
    </row>
    <row r="9">
      <c r="A9" s="9">
        <v>37.0</v>
      </c>
      <c r="B9" s="9"/>
      <c r="C9" s="9" t="s">
        <v>24</v>
      </c>
      <c r="D9" s="9">
        <v>11596.0</v>
      </c>
      <c r="E9" s="9" t="s">
        <v>18</v>
      </c>
      <c r="F9" s="9" t="s">
        <v>46</v>
      </c>
      <c r="G9" s="9">
        <v>0.45</v>
      </c>
      <c r="H9" s="9" t="s">
        <v>20</v>
      </c>
      <c r="I9" s="9">
        <v>1.0E-4</v>
      </c>
      <c r="J9" s="9">
        <v>15.0</v>
      </c>
      <c r="K9" s="9">
        <v>16.0</v>
      </c>
      <c r="L9" s="9">
        <v>68.3620689655172</v>
      </c>
      <c r="M9" s="9">
        <v>100.0</v>
      </c>
      <c r="N9" s="8" t="s">
        <v>47</v>
      </c>
      <c r="O9" s="9">
        <f t="shared" si="1"/>
        <v>0.49</v>
      </c>
      <c r="P9" s="9">
        <f>IFERROR(__xludf.DUMMYFUNCTION("""COMPUTED_VALUE"""),"0.68")</f>
        <v>0.68</v>
      </c>
      <c r="Q9" s="9">
        <f>IFERROR(__xludf.DUMMYFUNCTION("""COMPUTED_VALUE"""),"0.57")</f>
        <v>0.57</v>
      </c>
      <c r="R9" s="9">
        <f>IFERROR(__xludf.DUMMYFUNCTION("""COMPUTED_VALUE"""),"329")</f>
        <v>329</v>
      </c>
      <c r="S9" s="13" t="s">
        <v>32</v>
      </c>
    </row>
    <row r="10">
      <c r="A10" s="9">
        <v>37.0</v>
      </c>
      <c r="B10" s="9"/>
      <c r="C10" s="9" t="s">
        <v>24</v>
      </c>
      <c r="D10" s="9">
        <v>11596.0</v>
      </c>
      <c r="E10" s="9" t="s">
        <v>18</v>
      </c>
      <c r="F10" s="9" t="s">
        <v>19</v>
      </c>
      <c r="G10" s="9">
        <v>0.45</v>
      </c>
      <c r="H10" s="9" t="s">
        <v>20</v>
      </c>
      <c r="I10" s="9">
        <v>1.0E-4</v>
      </c>
      <c r="J10" s="9">
        <v>15.0</v>
      </c>
      <c r="K10" s="9">
        <v>16.0</v>
      </c>
      <c r="L10" s="9">
        <v>68.3620689655172</v>
      </c>
      <c r="M10" s="9">
        <v>100.0</v>
      </c>
      <c r="N10" s="8" t="s">
        <v>48</v>
      </c>
      <c r="O10" s="9">
        <f t="shared" si="1"/>
        <v>0.92</v>
      </c>
      <c r="P10" s="9">
        <f>IFERROR(__xludf.DUMMYFUNCTION("""COMPUTED_VALUE"""),"0.71")</f>
        <v>0.71</v>
      </c>
      <c r="Q10" s="9">
        <f>IFERROR(__xludf.DUMMYFUNCTION("""COMPUTED_VALUE"""),"0.8")</f>
        <v>0.8</v>
      </c>
      <c r="R10" s="9">
        <f>IFERROR(__xludf.DUMMYFUNCTION("""COMPUTED_VALUE"""),"443")</f>
        <v>443</v>
      </c>
      <c r="S10" s="9" t="s">
        <v>21</v>
      </c>
    </row>
    <row r="11">
      <c r="A11" s="9">
        <v>36.0</v>
      </c>
      <c r="B11" s="9"/>
      <c r="C11" s="9" t="s">
        <v>24</v>
      </c>
      <c r="D11" s="9">
        <v>11596.0</v>
      </c>
      <c r="E11" s="9" t="s">
        <v>18</v>
      </c>
      <c r="F11" s="9" t="s">
        <v>49</v>
      </c>
      <c r="G11" s="9">
        <v>0.45</v>
      </c>
      <c r="H11" s="9" t="s">
        <v>20</v>
      </c>
      <c r="I11" s="9">
        <v>1.0E-4</v>
      </c>
      <c r="J11" s="9">
        <v>15.0</v>
      </c>
      <c r="K11" s="9">
        <v>16.0</v>
      </c>
      <c r="L11" s="9">
        <v>69.4827586206896</v>
      </c>
      <c r="M11" s="9">
        <v>100.0</v>
      </c>
      <c r="N11" s="9"/>
      <c r="O11" s="9">
        <v>0.57</v>
      </c>
      <c r="P11" s="9">
        <v>0.66</v>
      </c>
      <c r="Q11" s="9">
        <v>0.61</v>
      </c>
      <c r="R11" s="9">
        <v>402.0</v>
      </c>
      <c r="S11" s="9" t="s">
        <v>29</v>
      </c>
    </row>
    <row r="12">
      <c r="A12" s="9">
        <v>36.0</v>
      </c>
      <c r="B12" s="9"/>
      <c r="C12" s="9" t="s">
        <v>24</v>
      </c>
      <c r="D12" s="9">
        <v>11596.0</v>
      </c>
      <c r="E12" s="9" t="s">
        <v>18</v>
      </c>
      <c r="F12" s="9" t="s">
        <v>26</v>
      </c>
      <c r="G12" s="9">
        <v>0.45</v>
      </c>
      <c r="H12" s="9" t="s">
        <v>20</v>
      </c>
      <c r="I12" s="9">
        <v>1.0E-4</v>
      </c>
      <c r="J12" s="9">
        <v>15.0</v>
      </c>
      <c r="K12" s="9">
        <v>16.0</v>
      </c>
      <c r="L12" s="9">
        <v>69.4827586206896</v>
      </c>
      <c r="M12" s="9">
        <v>100.0</v>
      </c>
      <c r="N12" s="9"/>
      <c r="O12" s="9">
        <v>0.71</v>
      </c>
      <c r="P12" s="9">
        <v>0.67</v>
      </c>
      <c r="Q12" s="9">
        <v>0.69</v>
      </c>
      <c r="R12" s="9">
        <v>380.0</v>
      </c>
      <c r="S12" s="13" t="s">
        <v>32</v>
      </c>
    </row>
    <row r="13">
      <c r="A13" s="9">
        <v>36.0</v>
      </c>
      <c r="B13" s="9"/>
      <c r="C13" s="9" t="s">
        <v>24</v>
      </c>
      <c r="D13" s="9">
        <v>11596.0</v>
      </c>
      <c r="E13" s="9" t="s">
        <v>18</v>
      </c>
      <c r="F13" s="9" t="s">
        <v>25</v>
      </c>
      <c r="G13" s="9">
        <v>0.45</v>
      </c>
      <c r="H13" s="9" t="s">
        <v>20</v>
      </c>
      <c r="I13" s="9">
        <v>1.0E-4</v>
      </c>
      <c r="J13" s="9">
        <v>15.0</v>
      </c>
      <c r="K13" s="9">
        <v>16.0</v>
      </c>
      <c r="L13" s="9">
        <v>69.4827586206896</v>
      </c>
      <c r="M13" s="9">
        <v>100.0</v>
      </c>
      <c r="N13" s="9"/>
      <c r="O13" s="9">
        <v>0.84</v>
      </c>
      <c r="P13" s="9">
        <v>0.76</v>
      </c>
      <c r="Q13" s="9">
        <v>0.8</v>
      </c>
      <c r="R13" s="9">
        <v>378.0</v>
      </c>
      <c r="S13" s="9" t="s">
        <v>21</v>
      </c>
    </row>
    <row r="14">
      <c r="A14" s="9">
        <v>35.0</v>
      </c>
      <c r="B14" s="9"/>
      <c r="C14" s="9" t="s">
        <v>17</v>
      </c>
      <c r="D14" s="9">
        <v>10147.0</v>
      </c>
      <c r="E14" s="9" t="s">
        <v>33</v>
      </c>
      <c r="F14" s="9" t="s">
        <v>30</v>
      </c>
      <c r="G14" s="9">
        <v>0.45</v>
      </c>
      <c r="H14" s="9" t="s">
        <v>20</v>
      </c>
      <c r="I14" s="9">
        <v>1.0E-4</v>
      </c>
      <c r="J14" s="9">
        <v>15.0</v>
      </c>
      <c r="K14" s="9">
        <v>16.0</v>
      </c>
      <c r="L14" s="9">
        <v>69.1625615763546</v>
      </c>
      <c r="M14" s="9">
        <v>100.0</v>
      </c>
      <c r="N14" s="9"/>
      <c r="O14" s="9">
        <v>0.54</v>
      </c>
      <c r="P14" s="9">
        <v>0.67</v>
      </c>
      <c r="Q14" s="9">
        <v>0.6</v>
      </c>
      <c r="R14" s="9">
        <v>325.0</v>
      </c>
      <c r="S14" s="9" t="s">
        <v>29</v>
      </c>
    </row>
    <row r="15">
      <c r="A15" s="9">
        <v>35.0</v>
      </c>
      <c r="B15" s="9"/>
      <c r="C15" s="9" t="s">
        <v>17</v>
      </c>
      <c r="D15" s="9">
        <v>10147.0</v>
      </c>
      <c r="E15" s="9" t="s">
        <v>33</v>
      </c>
      <c r="F15" s="9" t="s">
        <v>30</v>
      </c>
      <c r="G15" s="9">
        <v>0.45</v>
      </c>
      <c r="H15" s="9" t="s">
        <v>20</v>
      </c>
      <c r="I15" s="9">
        <v>1.0E-4</v>
      </c>
      <c r="J15" s="9">
        <v>15.0</v>
      </c>
      <c r="K15" s="9">
        <v>16.0</v>
      </c>
      <c r="L15" s="9">
        <v>69.1625615763546</v>
      </c>
      <c r="M15" s="9">
        <v>100.0</v>
      </c>
      <c r="N15" s="9"/>
      <c r="O15" s="9">
        <v>0.69</v>
      </c>
      <c r="P15" s="9">
        <v>0.7</v>
      </c>
      <c r="Q15" s="9">
        <v>0.7</v>
      </c>
      <c r="R15" s="9">
        <v>308.0</v>
      </c>
      <c r="S15" s="13" t="s">
        <v>32</v>
      </c>
    </row>
    <row r="16">
      <c r="A16" s="9">
        <v>35.0</v>
      </c>
      <c r="B16" s="9"/>
      <c r="C16" s="9" t="s">
        <v>17</v>
      </c>
      <c r="D16" s="9">
        <v>10147.0</v>
      </c>
      <c r="E16" s="9" t="s">
        <v>33</v>
      </c>
      <c r="F16" s="9" t="s">
        <v>30</v>
      </c>
      <c r="G16" s="9">
        <v>0.45</v>
      </c>
      <c r="H16" s="9" t="s">
        <v>20</v>
      </c>
      <c r="I16" s="9">
        <v>1.0E-4</v>
      </c>
      <c r="J16" s="9">
        <v>15.0</v>
      </c>
      <c r="K16" s="9">
        <v>16.0</v>
      </c>
      <c r="L16" s="9">
        <v>69.1625615763546</v>
      </c>
      <c r="M16" s="9">
        <v>100.0</v>
      </c>
      <c r="N16" s="9"/>
      <c r="O16" s="9">
        <v>0.9</v>
      </c>
      <c r="P16" s="9">
        <v>0.7</v>
      </c>
      <c r="Q16" s="9">
        <v>0.79</v>
      </c>
      <c r="R16" s="9">
        <v>382.0</v>
      </c>
      <c r="S16" s="9" t="s">
        <v>21</v>
      </c>
    </row>
    <row r="17">
      <c r="A17" s="13">
        <v>34.0</v>
      </c>
      <c r="B17" s="9"/>
      <c r="C17" s="9" t="s">
        <v>17</v>
      </c>
      <c r="D17" s="9">
        <v>11596.0</v>
      </c>
      <c r="E17" s="9" t="s">
        <v>18</v>
      </c>
      <c r="F17" s="9" t="s">
        <v>49</v>
      </c>
      <c r="G17" s="9">
        <v>0.5</v>
      </c>
      <c r="H17" s="9" t="s">
        <v>20</v>
      </c>
      <c r="I17" s="9">
        <v>1.0E-4</v>
      </c>
      <c r="J17" s="9">
        <v>15.0</v>
      </c>
      <c r="K17" s="9">
        <v>16.0</v>
      </c>
      <c r="L17" s="9">
        <v>66.6379310344827</v>
      </c>
      <c r="M17" s="9">
        <v>100.0</v>
      </c>
      <c r="N17" s="9"/>
      <c r="O17" s="9">
        <v>0.45</v>
      </c>
      <c r="P17" s="9">
        <v>0.68</v>
      </c>
      <c r="Q17" s="9">
        <v>0.54</v>
      </c>
      <c r="R17" s="9">
        <v>303.0</v>
      </c>
      <c r="S17" s="9" t="s">
        <v>29</v>
      </c>
    </row>
    <row r="18">
      <c r="A18" s="13">
        <v>34.0</v>
      </c>
      <c r="B18" s="9"/>
      <c r="C18" s="9" t="s">
        <v>17</v>
      </c>
      <c r="D18" s="9">
        <v>11596.0</v>
      </c>
      <c r="E18" s="9" t="s">
        <v>18</v>
      </c>
      <c r="F18" s="9" t="s">
        <v>26</v>
      </c>
      <c r="G18" s="9">
        <v>0.5</v>
      </c>
      <c r="H18" s="9" t="s">
        <v>20</v>
      </c>
      <c r="I18" s="9">
        <v>1.0E-4</v>
      </c>
      <c r="J18" s="9">
        <v>15.0</v>
      </c>
      <c r="K18" s="9">
        <v>16.0</v>
      </c>
      <c r="L18" s="9">
        <v>66.6379310344827</v>
      </c>
      <c r="M18" s="9">
        <v>100.0</v>
      </c>
      <c r="N18" s="9"/>
      <c r="O18" s="9">
        <v>0.74</v>
      </c>
      <c r="P18" s="9">
        <v>0.63</v>
      </c>
      <c r="Q18" s="9">
        <v>0.68</v>
      </c>
      <c r="R18" s="9">
        <v>420.0</v>
      </c>
      <c r="S18" s="13" t="s">
        <v>32</v>
      </c>
    </row>
    <row r="19">
      <c r="A19" s="13">
        <v>34.0</v>
      </c>
      <c r="B19" s="9"/>
      <c r="C19" s="9" t="s">
        <v>17</v>
      </c>
      <c r="D19" s="9">
        <v>11596.0</v>
      </c>
      <c r="E19" s="9" t="s">
        <v>18</v>
      </c>
      <c r="F19" s="9" t="s">
        <v>25</v>
      </c>
      <c r="G19" s="9">
        <v>0.5</v>
      </c>
      <c r="H19" s="9" t="s">
        <v>20</v>
      </c>
      <c r="I19" s="9">
        <v>1.0E-4</v>
      </c>
      <c r="J19" s="9">
        <v>15.0</v>
      </c>
      <c r="K19" s="9">
        <v>16.0</v>
      </c>
      <c r="L19" s="9">
        <v>66.6379310344827</v>
      </c>
      <c r="M19" s="9">
        <v>100.0</v>
      </c>
      <c r="N19" s="9"/>
      <c r="O19" s="9">
        <v>0.89</v>
      </c>
      <c r="P19" s="9">
        <v>0.69</v>
      </c>
      <c r="Q19" s="9">
        <v>0.78</v>
      </c>
      <c r="R19" s="9">
        <v>437.0</v>
      </c>
      <c r="S19" s="9" t="s">
        <v>21</v>
      </c>
    </row>
    <row r="20">
      <c r="A20" s="13">
        <v>33.0</v>
      </c>
      <c r="B20" s="9"/>
      <c r="C20" s="9" t="s">
        <v>17</v>
      </c>
      <c r="D20" s="9">
        <v>10147.0</v>
      </c>
      <c r="E20" s="9" t="s">
        <v>18</v>
      </c>
      <c r="F20" s="9" t="s">
        <v>22</v>
      </c>
      <c r="G20" s="9">
        <v>0.4</v>
      </c>
      <c r="H20" s="9" t="s">
        <v>20</v>
      </c>
      <c r="I20" s="9">
        <v>1.0E-4</v>
      </c>
      <c r="J20" s="9">
        <v>15.0</v>
      </c>
      <c r="K20" s="9">
        <v>16.0</v>
      </c>
      <c r="L20" s="9">
        <v>68.2758620689655</v>
      </c>
      <c r="M20" s="9">
        <v>100.0</v>
      </c>
      <c r="N20" s="9"/>
      <c r="O20" s="9">
        <v>0.58</v>
      </c>
      <c r="P20" s="9">
        <v>0.62</v>
      </c>
      <c r="Q20" s="9">
        <v>0.6</v>
      </c>
      <c r="R20" s="9">
        <v>373.0</v>
      </c>
      <c r="S20" s="9" t="s">
        <v>29</v>
      </c>
    </row>
    <row r="21">
      <c r="A21" s="13">
        <v>33.0</v>
      </c>
      <c r="B21" s="9"/>
      <c r="C21" s="9" t="s">
        <v>17</v>
      </c>
      <c r="D21" s="9">
        <v>10147.0</v>
      </c>
      <c r="E21" s="9" t="s">
        <v>18</v>
      </c>
      <c r="F21" s="9" t="s">
        <v>22</v>
      </c>
      <c r="G21" s="9">
        <v>0.4</v>
      </c>
      <c r="H21" s="9" t="s">
        <v>20</v>
      </c>
      <c r="I21" s="9">
        <v>1.0E-4</v>
      </c>
      <c r="J21" s="9">
        <v>15.0</v>
      </c>
      <c r="K21" s="9">
        <v>16.0</v>
      </c>
      <c r="L21" s="9">
        <v>68.2758620689655</v>
      </c>
      <c r="M21" s="9">
        <v>100.0</v>
      </c>
      <c r="N21" s="9"/>
      <c r="O21" s="9">
        <v>0.67</v>
      </c>
      <c r="P21" s="9">
        <v>0.69</v>
      </c>
      <c r="Q21" s="9">
        <v>0.68</v>
      </c>
      <c r="R21" s="9">
        <v>304.0</v>
      </c>
      <c r="S21" s="13" t="s">
        <v>32</v>
      </c>
    </row>
    <row r="22">
      <c r="A22" s="13">
        <v>33.0</v>
      </c>
      <c r="B22" s="9"/>
      <c r="C22" s="9" t="s">
        <v>17</v>
      </c>
      <c r="D22" s="9">
        <v>10147.0</v>
      </c>
      <c r="E22" s="9" t="s">
        <v>18</v>
      </c>
      <c r="F22" s="9" t="s">
        <v>22</v>
      </c>
      <c r="G22" s="9">
        <v>0.4</v>
      </c>
      <c r="H22" s="9" t="s">
        <v>20</v>
      </c>
      <c r="I22" s="9">
        <v>1.0E-4</v>
      </c>
      <c r="J22" s="9">
        <v>15.0</v>
      </c>
      <c r="K22" s="9">
        <v>16.0</v>
      </c>
      <c r="L22" s="9">
        <v>68.2758620689655</v>
      </c>
      <c r="M22" s="9">
        <v>100.0</v>
      </c>
      <c r="N22" s="9"/>
      <c r="O22" s="9">
        <v>0.84</v>
      </c>
      <c r="P22" s="9">
        <v>0.74</v>
      </c>
      <c r="Q22" s="9">
        <v>0.79</v>
      </c>
      <c r="R22" s="9">
        <v>338.0</v>
      </c>
      <c r="S22" s="9" t="s">
        <v>21</v>
      </c>
    </row>
    <row r="23">
      <c r="A23" s="13">
        <v>32.0</v>
      </c>
      <c r="B23" s="9"/>
      <c r="C23" s="9" t="s">
        <v>17</v>
      </c>
      <c r="D23" s="9">
        <v>10147.0</v>
      </c>
      <c r="E23" s="9" t="s">
        <v>18</v>
      </c>
      <c r="F23" s="9" t="s">
        <v>40</v>
      </c>
      <c r="G23" s="9">
        <v>0.4</v>
      </c>
      <c r="H23" s="9" t="s">
        <v>20</v>
      </c>
      <c r="I23" s="9">
        <v>1.0E-4</v>
      </c>
      <c r="J23" s="9">
        <v>15.0</v>
      </c>
      <c r="K23" s="9">
        <v>16.0</v>
      </c>
      <c r="L23" s="9">
        <v>69.9507389162561</v>
      </c>
      <c r="M23" s="9">
        <v>100.0</v>
      </c>
      <c r="N23" s="9"/>
      <c r="O23" s="9">
        <v>0.58</v>
      </c>
      <c r="P23" s="9">
        <v>0.75</v>
      </c>
      <c r="Q23" s="9">
        <v>0.65</v>
      </c>
      <c r="R23" s="9">
        <v>245.0</v>
      </c>
      <c r="S23" s="13" t="s">
        <v>32</v>
      </c>
    </row>
    <row r="24">
      <c r="A24" s="13">
        <v>32.0</v>
      </c>
      <c r="B24" s="9"/>
      <c r="C24" s="9" t="s">
        <v>17</v>
      </c>
      <c r="D24" s="9">
        <v>10147.0</v>
      </c>
      <c r="E24" s="9" t="s">
        <v>18</v>
      </c>
      <c r="F24" s="9" t="s">
        <v>46</v>
      </c>
      <c r="G24" s="9">
        <v>0.4</v>
      </c>
      <c r="H24" s="9" t="s">
        <v>20</v>
      </c>
      <c r="I24" s="9">
        <v>1.0E-4</v>
      </c>
      <c r="J24" s="9">
        <v>15.0</v>
      </c>
      <c r="K24" s="9">
        <v>16.0</v>
      </c>
      <c r="L24" s="9">
        <v>69.9507389162561</v>
      </c>
      <c r="M24" s="9">
        <v>100.0</v>
      </c>
      <c r="N24" s="9"/>
      <c r="O24" s="9">
        <v>0.66</v>
      </c>
      <c r="P24" s="9">
        <v>0.64</v>
      </c>
      <c r="Q24" s="9">
        <v>0.65</v>
      </c>
      <c r="R24" s="9">
        <v>415.0</v>
      </c>
      <c r="S24" s="9" t="s">
        <v>29</v>
      </c>
    </row>
    <row r="25">
      <c r="A25" s="13">
        <v>32.0</v>
      </c>
      <c r="B25" s="9"/>
      <c r="C25" s="9" t="s">
        <v>17</v>
      </c>
      <c r="D25" s="9">
        <v>10147.0</v>
      </c>
      <c r="E25" s="9" t="s">
        <v>18</v>
      </c>
      <c r="F25" s="9" t="s">
        <v>19</v>
      </c>
      <c r="G25" s="9">
        <v>0.4</v>
      </c>
      <c r="H25" s="9" t="s">
        <v>20</v>
      </c>
      <c r="I25" s="9">
        <v>1.0E-4</v>
      </c>
      <c r="J25" s="9">
        <v>15.0</v>
      </c>
      <c r="K25" s="9">
        <v>16.0</v>
      </c>
      <c r="L25" s="9">
        <v>69.9507389162561</v>
      </c>
      <c r="M25" s="9">
        <v>100.0</v>
      </c>
      <c r="N25" s="9"/>
      <c r="O25" s="9">
        <v>0.88</v>
      </c>
      <c r="P25" s="9">
        <v>0.74</v>
      </c>
      <c r="Q25" s="9">
        <v>0.81</v>
      </c>
      <c r="R25" s="9">
        <v>355.0</v>
      </c>
      <c r="S25" s="9" t="s">
        <v>21</v>
      </c>
    </row>
    <row r="26">
      <c r="A26" s="13">
        <v>31.0</v>
      </c>
      <c r="B26" s="9"/>
      <c r="C26" s="9" t="s">
        <v>17</v>
      </c>
      <c r="D26" s="9">
        <v>10147.0</v>
      </c>
      <c r="E26" s="9" t="s">
        <v>18</v>
      </c>
      <c r="F26" s="9" t="s">
        <v>26</v>
      </c>
      <c r="G26" s="9">
        <v>0.4</v>
      </c>
      <c r="H26" s="9" t="s">
        <v>20</v>
      </c>
      <c r="I26" s="9">
        <v>1.0E-4</v>
      </c>
      <c r="J26" s="9">
        <v>15.0</v>
      </c>
      <c r="K26" s="9">
        <v>16.0</v>
      </c>
      <c r="L26" s="9">
        <v>70.5418719211822</v>
      </c>
      <c r="M26" s="9">
        <v>100.0</v>
      </c>
      <c r="N26" s="9"/>
      <c r="O26" s="9">
        <v>0.58</v>
      </c>
      <c r="P26" s="9">
        <v>0.78</v>
      </c>
      <c r="Q26" s="9">
        <v>0.66</v>
      </c>
      <c r="R26" s="9">
        <v>231.0</v>
      </c>
      <c r="S26" s="13" t="s">
        <v>32</v>
      </c>
    </row>
    <row r="27">
      <c r="A27" s="13">
        <v>31.0</v>
      </c>
      <c r="B27" s="9"/>
      <c r="C27" s="9" t="s">
        <v>17</v>
      </c>
      <c r="D27" s="9">
        <v>10147.0</v>
      </c>
      <c r="E27" s="9" t="s">
        <v>18</v>
      </c>
      <c r="F27" s="9" t="s">
        <v>49</v>
      </c>
      <c r="G27" s="9">
        <v>0.4</v>
      </c>
      <c r="H27" s="9" t="s">
        <v>20</v>
      </c>
      <c r="I27" s="9">
        <v>1.0E-4</v>
      </c>
      <c r="J27" s="9">
        <v>15.0</v>
      </c>
      <c r="K27" s="9">
        <v>16.0</v>
      </c>
      <c r="L27" s="9">
        <v>70.5418719211822</v>
      </c>
      <c r="M27" s="9">
        <v>100.0</v>
      </c>
      <c r="N27" s="9"/>
      <c r="O27" s="9">
        <v>0.71</v>
      </c>
      <c r="P27" s="9">
        <v>0.63</v>
      </c>
      <c r="Q27" s="9">
        <v>0.67</v>
      </c>
      <c r="R27" s="9">
        <v>458.0</v>
      </c>
      <c r="S27" s="9" t="s">
        <v>29</v>
      </c>
    </row>
    <row r="28">
      <c r="A28" s="13">
        <v>31.0</v>
      </c>
      <c r="B28" s="9"/>
      <c r="C28" s="9" t="s">
        <v>17</v>
      </c>
      <c r="D28" s="9">
        <v>10147.0</v>
      </c>
      <c r="E28" s="9" t="s">
        <v>18</v>
      </c>
      <c r="F28" s="9" t="s">
        <v>25</v>
      </c>
      <c r="G28" s="9">
        <v>0.4</v>
      </c>
      <c r="H28" s="9" t="s">
        <v>20</v>
      </c>
      <c r="I28" s="9">
        <v>1.0E-4</v>
      </c>
      <c r="J28" s="9">
        <v>15.0</v>
      </c>
      <c r="K28" s="9">
        <v>16.0</v>
      </c>
      <c r="L28" s="9">
        <v>70.5418719211822</v>
      </c>
      <c r="M28" s="9">
        <v>100.0</v>
      </c>
      <c r="N28" s="9"/>
      <c r="O28" s="9">
        <v>0.83</v>
      </c>
      <c r="P28" s="9">
        <v>0.76</v>
      </c>
      <c r="Q28" s="9">
        <v>0.79</v>
      </c>
      <c r="R28" s="9">
        <v>326.0</v>
      </c>
      <c r="S28" s="9" t="s">
        <v>21</v>
      </c>
    </row>
    <row r="29">
      <c r="A29" s="13">
        <v>30.0</v>
      </c>
      <c r="B29" s="9"/>
      <c r="C29" s="9" t="s">
        <v>17</v>
      </c>
      <c r="D29" s="9">
        <v>10147.0</v>
      </c>
      <c r="E29" s="9" t="s">
        <v>18</v>
      </c>
      <c r="F29" s="9" t="s">
        <v>49</v>
      </c>
      <c r="G29" s="9">
        <v>0.4</v>
      </c>
      <c r="H29" s="9" t="s">
        <v>34</v>
      </c>
      <c r="I29" s="9">
        <v>1.0E-4</v>
      </c>
      <c r="J29" s="9">
        <v>15.0</v>
      </c>
      <c r="K29" s="9">
        <v>16.0</v>
      </c>
      <c r="L29" s="9">
        <v>68.1773399014778</v>
      </c>
      <c r="M29" s="9">
        <v>100.0</v>
      </c>
      <c r="N29" s="9"/>
      <c r="O29" s="9">
        <v>0.57</v>
      </c>
      <c r="P29" s="9">
        <v>0.62</v>
      </c>
      <c r="Q29" s="9">
        <v>0.59</v>
      </c>
      <c r="R29" s="9">
        <v>371.0</v>
      </c>
      <c r="S29" s="9" t="s">
        <v>29</v>
      </c>
    </row>
    <row r="30">
      <c r="A30" s="13">
        <v>30.0</v>
      </c>
      <c r="B30" s="9"/>
      <c r="C30" s="9" t="s">
        <v>17</v>
      </c>
      <c r="D30" s="9">
        <v>10147.0</v>
      </c>
      <c r="E30" s="9" t="s">
        <v>18</v>
      </c>
      <c r="F30" s="9" t="s">
        <v>26</v>
      </c>
      <c r="G30" s="9">
        <v>0.4</v>
      </c>
      <c r="H30" s="9" t="s">
        <v>34</v>
      </c>
      <c r="I30" s="9">
        <v>1.0E-4</v>
      </c>
      <c r="J30" s="9">
        <v>15.0</v>
      </c>
      <c r="K30" s="9">
        <v>16.0</v>
      </c>
      <c r="L30" s="9">
        <v>68.1773399014778</v>
      </c>
      <c r="M30" s="9">
        <v>100.0</v>
      </c>
      <c r="N30" s="9"/>
      <c r="O30" s="9">
        <v>0.75</v>
      </c>
      <c r="P30" s="9">
        <v>0.67</v>
      </c>
      <c r="Q30" s="9">
        <v>0.71</v>
      </c>
      <c r="R30" s="9">
        <v>354.0</v>
      </c>
      <c r="S30" s="13" t="s">
        <v>32</v>
      </c>
    </row>
    <row r="31">
      <c r="A31" s="13">
        <v>30.0</v>
      </c>
      <c r="B31" s="9"/>
      <c r="C31" s="9" t="s">
        <v>17</v>
      </c>
      <c r="D31" s="9">
        <v>10147.0</v>
      </c>
      <c r="E31" s="9" t="s">
        <v>18</v>
      </c>
      <c r="F31" s="9" t="s">
        <v>25</v>
      </c>
      <c r="G31" s="9">
        <v>0.4</v>
      </c>
      <c r="H31" s="9" t="s">
        <v>34</v>
      </c>
      <c r="I31" s="9">
        <v>1.0E-4</v>
      </c>
      <c r="J31" s="9">
        <v>15.0</v>
      </c>
      <c r="K31" s="9">
        <v>16.0</v>
      </c>
      <c r="L31" s="9">
        <v>68.1773399014778</v>
      </c>
      <c r="M31" s="9">
        <v>100.0</v>
      </c>
      <c r="N31" s="9"/>
      <c r="O31" s="9">
        <v>0.76</v>
      </c>
      <c r="P31" s="9">
        <v>0.78</v>
      </c>
      <c r="Q31" s="9">
        <v>0.77</v>
      </c>
      <c r="R31" s="9">
        <v>290.0</v>
      </c>
      <c r="S31" s="9" t="s">
        <v>21</v>
      </c>
    </row>
    <row r="32">
      <c r="A32" s="13">
        <v>29.0</v>
      </c>
      <c r="B32" s="9"/>
      <c r="C32" s="9" t="s">
        <v>17</v>
      </c>
      <c r="D32" s="9">
        <v>10147.0</v>
      </c>
      <c r="E32" s="9" t="s">
        <v>18</v>
      </c>
      <c r="F32" s="9" t="s">
        <v>22</v>
      </c>
      <c r="G32" s="9">
        <v>0.3</v>
      </c>
      <c r="H32" s="9" t="s">
        <v>34</v>
      </c>
      <c r="I32" s="9">
        <v>1.0E-4</v>
      </c>
      <c r="J32" s="9">
        <v>15.0</v>
      </c>
      <c r="K32" s="9">
        <v>18.0</v>
      </c>
      <c r="L32" s="9">
        <v>67.1921182266009</v>
      </c>
      <c r="M32" s="9">
        <v>100.0</v>
      </c>
      <c r="N32" s="9"/>
      <c r="O32" s="9">
        <v>0.49</v>
      </c>
      <c r="P32" s="9">
        <v>0.79</v>
      </c>
      <c r="Q32" s="9">
        <v>0.61</v>
      </c>
      <c r="R32" s="9">
        <v>197.0</v>
      </c>
      <c r="S32" s="13" t="s">
        <v>32</v>
      </c>
    </row>
    <row r="33">
      <c r="A33" s="13">
        <v>29.0</v>
      </c>
      <c r="B33" s="9"/>
      <c r="C33" s="9" t="s">
        <v>17</v>
      </c>
      <c r="D33" s="9">
        <v>10147.0</v>
      </c>
      <c r="E33" s="9" t="s">
        <v>18</v>
      </c>
      <c r="F33" s="9" t="s">
        <v>22</v>
      </c>
      <c r="G33" s="9">
        <v>0.3</v>
      </c>
      <c r="H33" s="9" t="s">
        <v>34</v>
      </c>
      <c r="I33" s="9">
        <v>1.0E-4</v>
      </c>
      <c r="J33" s="9">
        <v>15.0</v>
      </c>
      <c r="K33" s="9">
        <v>18.0</v>
      </c>
      <c r="L33" s="9">
        <v>67.1921182266009</v>
      </c>
      <c r="M33" s="9">
        <v>100.0</v>
      </c>
      <c r="N33" s="9"/>
      <c r="O33" s="9">
        <v>0.74</v>
      </c>
      <c r="P33" s="9">
        <v>0.58</v>
      </c>
      <c r="Q33" s="9">
        <v>0.65</v>
      </c>
      <c r="R33" s="9">
        <v>521.0</v>
      </c>
      <c r="S33" s="9" t="s">
        <v>29</v>
      </c>
    </row>
    <row r="34">
      <c r="A34" s="13">
        <v>29.0</v>
      </c>
      <c r="B34" s="9"/>
      <c r="C34" s="9" t="s">
        <v>17</v>
      </c>
      <c r="D34" s="9">
        <v>10147.0</v>
      </c>
      <c r="E34" s="9" t="s">
        <v>18</v>
      </c>
      <c r="F34" s="9" t="s">
        <v>22</v>
      </c>
      <c r="G34" s="9">
        <v>0.3</v>
      </c>
      <c r="H34" s="9" t="s">
        <v>34</v>
      </c>
      <c r="I34" s="9">
        <v>1.0E-4</v>
      </c>
      <c r="J34" s="9">
        <v>15.0</v>
      </c>
      <c r="K34" s="9">
        <v>18.0</v>
      </c>
      <c r="L34" s="9">
        <v>67.1921182266009</v>
      </c>
      <c r="M34" s="9">
        <v>100.0</v>
      </c>
      <c r="N34" s="9"/>
      <c r="O34" s="9">
        <v>0.76</v>
      </c>
      <c r="P34" s="9">
        <v>0.76</v>
      </c>
      <c r="Q34" s="9">
        <v>0.76</v>
      </c>
      <c r="R34" s="9">
        <v>297.0</v>
      </c>
      <c r="S34" s="9" t="s">
        <v>21</v>
      </c>
    </row>
    <row r="35">
      <c r="A35" s="13">
        <v>28.0</v>
      </c>
      <c r="B35" s="9"/>
      <c r="C35" s="9" t="s">
        <v>17</v>
      </c>
      <c r="D35" s="9">
        <v>10147.0</v>
      </c>
      <c r="E35" s="9" t="s">
        <v>18</v>
      </c>
      <c r="F35" s="9" t="s">
        <v>22</v>
      </c>
      <c r="G35" s="9">
        <v>0.35</v>
      </c>
      <c r="H35" s="9" t="s">
        <v>20</v>
      </c>
      <c r="I35" s="9">
        <v>1.0E-4</v>
      </c>
      <c r="J35" s="9">
        <v>15.0</v>
      </c>
      <c r="K35" s="9">
        <v>15.0</v>
      </c>
      <c r="L35" s="9">
        <v>68.3743842364532</v>
      </c>
      <c r="M35" s="9">
        <v>100.0</v>
      </c>
      <c r="N35" s="9"/>
      <c r="O35" s="9">
        <v>0.56</v>
      </c>
      <c r="P35" s="9">
        <v>0.63</v>
      </c>
      <c r="Q35" s="9">
        <v>0.6</v>
      </c>
      <c r="R35" s="9">
        <v>356.0</v>
      </c>
      <c r="S35" s="9" t="s">
        <v>29</v>
      </c>
    </row>
    <row r="36">
      <c r="A36" s="13">
        <v>28.0</v>
      </c>
      <c r="B36" s="9"/>
      <c r="C36" s="9" t="s">
        <v>17</v>
      </c>
      <c r="D36" s="9">
        <v>10147.0</v>
      </c>
      <c r="E36" s="9" t="s">
        <v>18</v>
      </c>
      <c r="F36" s="9" t="s">
        <v>22</v>
      </c>
      <c r="G36" s="9">
        <v>0.35</v>
      </c>
      <c r="H36" s="9" t="s">
        <v>20</v>
      </c>
      <c r="I36" s="9">
        <v>1.0E-4</v>
      </c>
      <c r="J36" s="9">
        <v>15.0</v>
      </c>
      <c r="K36" s="9">
        <v>15.0</v>
      </c>
      <c r="L36" s="9">
        <v>68.3743842364532</v>
      </c>
      <c r="M36" s="9">
        <v>100.0</v>
      </c>
      <c r="N36" s="9"/>
      <c r="O36" s="9">
        <v>0.67</v>
      </c>
      <c r="P36" s="9">
        <v>0.69</v>
      </c>
      <c r="Q36" s="9">
        <v>0.68</v>
      </c>
      <c r="R36" s="9">
        <v>306.0</v>
      </c>
      <c r="S36" s="13" t="s">
        <v>32</v>
      </c>
    </row>
    <row r="37">
      <c r="A37" s="13">
        <v>28.0</v>
      </c>
      <c r="B37" s="9"/>
      <c r="C37" s="9" t="s">
        <v>17</v>
      </c>
      <c r="D37" s="9">
        <v>10147.0</v>
      </c>
      <c r="E37" s="9" t="s">
        <v>18</v>
      </c>
      <c r="F37" s="9" t="s">
        <v>22</v>
      </c>
      <c r="G37" s="9">
        <v>0.35</v>
      </c>
      <c r="H37" s="9" t="s">
        <v>20</v>
      </c>
      <c r="I37" s="9">
        <v>1.0E-4</v>
      </c>
      <c r="J37" s="9">
        <v>15.0</v>
      </c>
      <c r="K37" s="9">
        <v>15.0</v>
      </c>
      <c r="L37" s="9">
        <v>68.3743842364532</v>
      </c>
      <c r="M37" s="9">
        <v>100.0</v>
      </c>
      <c r="N37" s="9"/>
      <c r="O37" s="9">
        <v>0.87</v>
      </c>
      <c r="P37" s="9">
        <v>0.73</v>
      </c>
      <c r="Q37" s="9">
        <v>0.79</v>
      </c>
      <c r="R37" s="9">
        <v>353.0</v>
      </c>
      <c r="S37" s="9" t="s">
        <v>21</v>
      </c>
    </row>
    <row r="38">
      <c r="A38" s="13">
        <v>27.0</v>
      </c>
      <c r="B38" s="9"/>
      <c r="C38" s="9" t="s">
        <v>17</v>
      </c>
      <c r="D38" s="9">
        <v>10147.0</v>
      </c>
      <c r="E38" s="9" t="s">
        <v>35</v>
      </c>
      <c r="F38" s="9" t="s">
        <v>22</v>
      </c>
      <c r="G38" s="9">
        <v>0.5</v>
      </c>
      <c r="H38" s="9" t="s">
        <v>23</v>
      </c>
      <c r="I38" s="9">
        <v>1.0E-4</v>
      </c>
      <c r="J38" s="9">
        <v>15.0</v>
      </c>
      <c r="K38" s="9">
        <v>16.0</v>
      </c>
      <c r="L38" s="9">
        <v>65.7142857142857</v>
      </c>
      <c r="M38" s="9">
        <v>100.0</v>
      </c>
      <c r="N38" s="9"/>
      <c r="O38" s="9">
        <v>0.66</v>
      </c>
      <c r="P38" s="9">
        <v>0.58</v>
      </c>
      <c r="Q38" s="9">
        <v>0.61</v>
      </c>
      <c r="R38" s="9">
        <v>459.0</v>
      </c>
      <c r="S38" s="9" t="s">
        <v>29</v>
      </c>
    </row>
    <row r="39">
      <c r="A39" s="13">
        <v>27.0</v>
      </c>
      <c r="B39" s="9"/>
      <c r="C39" s="9" t="s">
        <v>17</v>
      </c>
      <c r="D39" s="9">
        <v>10147.0</v>
      </c>
      <c r="E39" s="9" t="s">
        <v>35</v>
      </c>
      <c r="F39" s="9" t="s">
        <v>22</v>
      </c>
      <c r="G39" s="9">
        <v>0.5</v>
      </c>
      <c r="H39" s="9" t="s">
        <v>23</v>
      </c>
      <c r="I39" s="9">
        <v>1.0E-4</v>
      </c>
      <c r="J39" s="9">
        <v>15.0</v>
      </c>
      <c r="K39" s="9">
        <v>16.0</v>
      </c>
      <c r="L39" s="9">
        <v>65.7142857142857</v>
      </c>
      <c r="M39" s="9">
        <v>100.0</v>
      </c>
      <c r="N39" s="9"/>
      <c r="O39" s="9">
        <v>0.57</v>
      </c>
      <c r="P39" s="9">
        <v>0.73</v>
      </c>
      <c r="Q39" s="9">
        <v>0.64</v>
      </c>
      <c r="R39" s="9">
        <v>248.0</v>
      </c>
      <c r="S39" s="13" t="s">
        <v>32</v>
      </c>
    </row>
    <row r="40">
      <c r="A40" s="13">
        <v>27.0</v>
      </c>
      <c r="B40" s="9"/>
      <c r="C40" s="9" t="s">
        <v>17</v>
      </c>
      <c r="D40" s="9">
        <v>10147.0</v>
      </c>
      <c r="E40" s="9" t="s">
        <v>35</v>
      </c>
      <c r="F40" s="9" t="s">
        <v>22</v>
      </c>
      <c r="G40" s="9">
        <v>0.5</v>
      </c>
      <c r="H40" s="9" t="s">
        <v>23</v>
      </c>
      <c r="I40" s="9">
        <v>1.0E-4</v>
      </c>
      <c r="J40" s="9">
        <v>15.0</v>
      </c>
      <c r="K40" s="9">
        <v>16.0</v>
      </c>
      <c r="L40" s="9">
        <v>65.7142857142857</v>
      </c>
      <c r="M40" s="9">
        <v>100.0</v>
      </c>
      <c r="N40" s="9"/>
      <c r="O40" s="9">
        <v>0.75</v>
      </c>
      <c r="P40" s="9">
        <v>0.72</v>
      </c>
      <c r="Q40" s="9">
        <v>0.74</v>
      </c>
      <c r="R40" s="9">
        <v>308.0</v>
      </c>
      <c r="S40" s="9" t="s">
        <v>21</v>
      </c>
    </row>
    <row r="41">
      <c r="A41" s="13">
        <v>26.0</v>
      </c>
      <c r="B41" s="9"/>
      <c r="C41" s="9" t="s">
        <v>17</v>
      </c>
      <c r="D41" s="9">
        <v>10147.0</v>
      </c>
      <c r="E41" s="9" t="s">
        <v>35</v>
      </c>
      <c r="F41" s="9" t="s">
        <v>22</v>
      </c>
      <c r="G41" s="9">
        <v>0.5</v>
      </c>
      <c r="H41" s="9" t="s">
        <v>20</v>
      </c>
      <c r="I41" s="9">
        <v>1.0E-4</v>
      </c>
      <c r="J41" s="9">
        <v>15.0</v>
      </c>
      <c r="K41" s="9">
        <v>16.0</v>
      </c>
      <c r="L41" s="9">
        <v>66.6009852216748</v>
      </c>
      <c r="M41" s="9">
        <v>100.0</v>
      </c>
      <c r="N41" s="9"/>
      <c r="O41" s="9">
        <v>0.62</v>
      </c>
      <c r="P41" s="9">
        <v>0.59</v>
      </c>
      <c r="Q41" s="9">
        <v>0.61</v>
      </c>
      <c r="R41" s="9">
        <v>421.0</v>
      </c>
      <c r="S41" s="9" t="s">
        <v>29</v>
      </c>
    </row>
    <row r="42">
      <c r="A42" s="13">
        <v>26.0</v>
      </c>
      <c r="B42" s="9"/>
      <c r="C42" s="9" t="s">
        <v>17</v>
      </c>
      <c r="D42" s="9">
        <v>10147.0</v>
      </c>
      <c r="E42" s="9" t="s">
        <v>35</v>
      </c>
      <c r="F42" s="9" t="s">
        <v>22</v>
      </c>
      <c r="G42" s="9">
        <v>0.5</v>
      </c>
      <c r="H42" s="9" t="s">
        <v>20</v>
      </c>
      <c r="I42" s="9">
        <v>1.0E-4</v>
      </c>
      <c r="J42" s="9">
        <v>15.0</v>
      </c>
      <c r="K42" s="9">
        <v>16.0</v>
      </c>
      <c r="L42" s="9">
        <v>66.6009852216748</v>
      </c>
      <c r="M42" s="9">
        <v>100.0</v>
      </c>
      <c r="N42" s="9"/>
      <c r="O42" s="9">
        <v>0.59</v>
      </c>
      <c r="P42" s="9">
        <v>0.74</v>
      </c>
      <c r="Q42" s="9">
        <v>0.65</v>
      </c>
      <c r="R42" s="9">
        <v>250.0</v>
      </c>
      <c r="S42" s="13" t="s">
        <v>32</v>
      </c>
    </row>
    <row r="43">
      <c r="A43" s="13">
        <v>26.0</v>
      </c>
      <c r="B43" s="9"/>
      <c r="C43" s="9" t="s">
        <v>17</v>
      </c>
      <c r="D43" s="9">
        <v>10147.0</v>
      </c>
      <c r="E43" s="9" t="s">
        <v>35</v>
      </c>
      <c r="F43" s="9" t="s">
        <v>22</v>
      </c>
      <c r="G43" s="9">
        <v>0.5</v>
      </c>
      <c r="H43" s="9" t="s">
        <v>20</v>
      </c>
      <c r="I43" s="9">
        <v>1.0E-4</v>
      </c>
      <c r="J43" s="9">
        <v>15.0</v>
      </c>
      <c r="K43" s="9">
        <v>16.0</v>
      </c>
      <c r="L43" s="9">
        <v>66.6009852216748</v>
      </c>
      <c r="M43" s="9">
        <v>100.0</v>
      </c>
      <c r="N43" s="9"/>
      <c r="O43" s="9">
        <v>0.81</v>
      </c>
      <c r="P43" s="9">
        <v>0.7</v>
      </c>
      <c r="Q43" s="9">
        <v>0.75</v>
      </c>
      <c r="R43" s="9">
        <v>344.0</v>
      </c>
      <c r="S43" s="9" t="s">
        <v>21</v>
      </c>
    </row>
    <row r="44">
      <c r="A44" s="13">
        <v>25.0</v>
      </c>
      <c r="B44" s="9"/>
      <c r="C44" s="9" t="s">
        <v>17</v>
      </c>
      <c r="D44" s="9">
        <v>7248.0</v>
      </c>
      <c r="E44" s="9" t="s">
        <v>18</v>
      </c>
      <c r="F44" s="9" t="s">
        <v>22</v>
      </c>
      <c r="G44" s="9">
        <v>0.5</v>
      </c>
      <c r="H44" s="9" t="s">
        <v>23</v>
      </c>
      <c r="I44" s="9">
        <v>1.0E-4</v>
      </c>
      <c r="J44" s="9">
        <v>15.0</v>
      </c>
      <c r="K44" s="9">
        <v>12.0</v>
      </c>
      <c r="L44" s="9">
        <v>68.9655172413793</v>
      </c>
      <c r="M44" s="9">
        <v>255.0</v>
      </c>
      <c r="N44" s="9" t="s">
        <v>50</v>
      </c>
      <c r="O44" s="26">
        <f t="shared" ref="O44:O118" si="2">IFERROR(__xludf.DUMMYFUNCTION("SPLIT(N44,"" "")"),"0.66")</f>
        <v>0.66</v>
      </c>
      <c r="P44" s="21">
        <f>IFERROR(__xludf.DUMMYFUNCTION("""COMPUTED_VALUE"""),"0.61")</f>
        <v>0.61</v>
      </c>
      <c r="Q44" s="21">
        <f>IFERROR(__xludf.DUMMYFUNCTION("""COMPUTED_VALUE"""),"0.64")</f>
        <v>0.64</v>
      </c>
      <c r="R44" s="21">
        <f>IFERROR(__xludf.DUMMYFUNCTION("""COMPUTED_VALUE"""),"310")</f>
        <v>310</v>
      </c>
      <c r="S44" s="9" t="s">
        <v>29</v>
      </c>
    </row>
    <row r="45">
      <c r="A45" s="13">
        <v>25.0</v>
      </c>
      <c r="B45" s="9"/>
      <c r="C45" s="9" t="s">
        <v>17</v>
      </c>
      <c r="D45" s="9">
        <v>7248.0</v>
      </c>
      <c r="E45" s="9" t="s">
        <v>18</v>
      </c>
      <c r="F45" s="9" t="s">
        <v>22</v>
      </c>
      <c r="G45" s="9">
        <v>0.5</v>
      </c>
      <c r="H45" s="9" t="s">
        <v>23</v>
      </c>
      <c r="I45" s="9">
        <v>1.0E-4</v>
      </c>
      <c r="J45" s="9">
        <v>15.0</v>
      </c>
      <c r="K45" s="9">
        <v>12.0</v>
      </c>
      <c r="L45" s="9">
        <v>68.9655172413793</v>
      </c>
      <c r="M45" s="9">
        <v>255.0</v>
      </c>
      <c r="N45" s="9" t="s">
        <v>51</v>
      </c>
      <c r="O45" s="26">
        <f t="shared" si="2"/>
        <v>0.6</v>
      </c>
      <c r="P45" s="26">
        <f>IFERROR(__xludf.DUMMYFUNCTION("""COMPUTED_VALUE"""),"0.73")</f>
        <v>0.73</v>
      </c>
      <c r="Q45" s="26">
        <f>IFERROR(__xludf.DUMMYFUNCTION("""COMPUTED_VALUE"""),"0.66")</f>
        <v>0.66</v>
      </c>
      <c r="R45" s="26">
        <f>IFERROR(__xludf.DUMMYFUNCTION("""COMPUTED_VALUE"""),"184")</f>
        <v>184</v>
      </c>
      <c r="S45" s="13" t="s">
        <v>32</v>
      </c>
    </row>
    <row r="46">
      <c r="A46" s="13">
        <v>25.0</v>
      </c>
      <c r="B46" s="9"/>
      <c r="C46" s="9" t="s">
        <v>17</v>
      </c>
      <c r="D46" s="9">
        <v>7248.0</v>
      </c>
      <c r="E46" s="9" t="s">
        <v>18</v>
      </c>
      <c r="F46" s="9" t="s">
        <v>22</v>
      </c>
      <c r="G46" s="9">
        <v>0.5</v>
      </c>
      <c r="H46" s="9" t="s">
        <v>23</v>
      </c>
      <c r="I46" s="9">
        <v>1.0E-4</v>
      </c>
      <c r="J46" s="9">
        <v>15.0</v>
      </c>
      <c r="K46" s="9">
        <v>12.0</v>
      </c>
      <c r="L46" s="9">
        <v>68.9655172413793</v>
      </c>
      <c r="M46" s="9">
        <v>255.0</v>
      </c>
      <c r="N46" s="9" t="s">
        <v>53</v>
      </c>
      <c r="O46" s="26">
        <f t="shared" si="2"/>
        <v>0.82</v>
      </c>
      <c r="P46" s="21">
        <f>IFERROR(__xludf.DUMMYFUNCTION("""COMPUTED_VALUE"""),"0.76")</f>
        <v>0.76</v>
      </c>
      <c r="Q46" s="21">
        <f>IFERROR(__xludf.DUMMYFUNCTION("""COMPUTED_VALUE"""),"0.79")</f>
        <v>0.79</v>
      </c>
      <c r="R46" s="21">
        <f>IFERROR(__xludf.DUMMYFUNCTION("""COMPUTED_VALUE"""),"231")</f>
        <v>231</v>
      </c>
      <c r="S46" s="9" t="s">
        <v>21</v>
      </c>
    </row>
    <row r="47">
      <c r="A47" s="13">
        <v>24.0</v>
      </c>
      <c r="B47" s="21"/>
      <c r="C47" s="9" t="s">
        <v>17</v>
      </c>
      <c r="D47" s="9">
        <v>7248.0</v>
      </c>
      <c r="E47" s="9" t="s">
        <v>18</v>
      </c>
      <c r="F47" s="9" t="s">
        <v>22</v>
      </c>
      <c r="G47" s="9">
        <v>0.4</v>
      </c>
      <c r="H47" s="9" t="s">
        <v>23</v>
      </c>
      <c r="I47" s="9">
        <v>1.0E-4</v>
      </c>
      <c r="J47" s="9">
        <v>15.0</v>
      </c>
      <c r="K47" s="9">
        <v>16.0</v>
      </c>
      <c r="L47" s="9">
        <v>70.2068965517241</v>
      </c>
      <c r="M47" s="9">
        <v>100.0</v>
      </c>
      <c r="N47" s="9" t="s">
        <v>54</v>
      </c>
      <c r="O47" s="26">
        <f t="shared" si="2"/>
        <v>0.65</v>
      </c>
      <c r="P47" s="21">
        <f>IFERROR(__xludf.DUMMYFUNCTION("""COMPUTED_VALUE"""),"0.63")</f>
        <v>0.63</v>
      </c>
      <c r="Q47" s="21">
        <f>IFERROR(__xludf.DUMMYFUNCTION("""COMPUTED_VALUE"""),"0.64")</f>
        <v>0.64</v>
      </c>
      <c r="R47" s="21">
        <f>IFERROR(__xludf.DUMMYFUNCTION("""COMPUTED_VALUE"""),"300")</f>
        <v>300</v>
      </c>
      <c r="S47" s="9" t="s">
        <v>29</v>
      </c>
    </row>
    <row r="48">
      <c r="A48" s="13">
        <v>24.0</v>
      </c>
      <c r="B48" s="9"/>
      <c r="C48" s="9" t="s">
        <v>17</v>
      </c>
      <c r="D48" s="9">
        <v>7248.0</v>
      </c>
      <c r="E48" s="9" t="s">
        <v>18</v>
      </c>
      <c r="F48" s="9" t="s">
        <v>22</v>
      </c>
      <c r="G48" s="9">
        <v>0.4</v>
      </c>
      <c r="H48" s="9" t="s">
        <v>23</v>
      </c>
      <c r="I48" s="9">
        <v>1.0E-4</v>
      </c>
      <c r="J48" s="9">
        <v>15.0</v>
      </c>
      <c r="K48" s="9">
        <v>16.0</v>
      </c>
      <c r="L48" s="9">
        <v>70.2068965517241</v>
      </c>
      <c r="M48" s="9">
        <v>100.0</v>
      </c>
      <c r="N48" s="9" t="s">
        <v>55</v>
      </c>
      <c r="O48" s="26">
        <f t="shared" si="2"/>
        <v>0.68</v>
      </c>
      <c r="P48" s="21">
        <f>IFERROR(__xludf.DUMMYFUNCTION("""COMPUTED_VALUE"""),"0.7")</f>
        <v>0.7</v>
      </c>
      <c r="Q48" s="21">
        <f>IFERROR(__xludf.DUMMYFUNCTION("""COMPUTED_VALUE"""),"0.69")</f>
        <v>0.69</v>
      </c>
      <c r="R48" s="21">
        <f>IFERROR(__xludf.DUMMYFUNCTION("""COMPUTED_VALUE"""),"217")</f>
        <v>217</v>
      </c>
      <c r="S48" s="13" t="s">
        <v>32</v>
      </c>
    </row>
    <row r="49">
      <c r="A49" s="13">
        <v>24.0</v>
      </c>
      <c r="B49" s="21"/>
      <c r="C49" s="9" t="s">
        <v>17</v>
      </c>
      <c r="D49" s="9">
        <v>7248.0</v>
      </c>
      <c r="E49" s="9" t="s">
        <v>18</v>
      </c>
      <c r="F49" s="9" t="s">
        <v>22</v>
      </c>
      <c r="G49" s="9">
        <v>0.4</v>
      </c>
      <c r="H49" s="9" t="s">
        <v>23</v>
      </c>
      <c r="I49" s="9">
        <v>1.0E-4</v>
      </c>
      <c r="J49" s="9">
        <v>15.0</v>
      </c>
      <c r="K49" s="9">
        <v>16.0</v>
      </c>
      <c r="L49" s="9">
        <v>70.2068965517241</v>
      </c>
      <c r="M49" s="9">
        <v>100.0</v>
      </c>
      <c r="N49" s="9" t="s">
        <v>56</v>
      </c>
      <c r="O49" s="26">
        <f t="shared" si="2"/>
        <v>0.79</v>
      </c>
      <c r="P49" s="21">
        <f>IFERROR(__xludf.DUMMYFUNCTION("""COMPUTED_VALUE"""),"0.81")</f>
        <v>0.81</v>
      </c>
      <c r="Q49" s="21">
        <f>IFERROR(__xludf.DUMMYFUNCTION("""COMPUTED_VALUE"""),"0.8")</f>
        <v>0.8</v>
      </c>
      <c r="R49" s="21">
        <f>IFERROR(__xludf.DUMMYFUNCTION("""COMPUTED_VALUE"""),"208")</f>
        <v>208</v>
      </c>
      <c r="S49" s="9" t="s">
        <v>21</v>
      </c>
    </row>
    <row r="50">
      <c r="A50" s="13">
        <v>23.0</v>
      </c>
      <c r="B50" s="9" t="s">
        <v>57</v>
      </c>
      <c r="C50" s="21" t="str">
        <f t="shared" ref="C50:C106" si="3">IFERROR(__xludf.DUMMYFUNCTION("SPLIT(B50,"" "")"),"VGG19TransferLearning")</f>
        <v>VGG19TransferLearning</v>
      </c>
      <c r="D50" s="21">
        <f>IFERROR(__xludf.DUMMYFUNCTION("""COMPUTED_VALUE"""),"8697")</f>
        <v>8697</v>
      </c>
      <c r="E50" s="21" t="str">
        <f>IFERROR(__xludf.DUMMYFUNCTION("""COMPUTED_VALUE"""),"(256,256,3)")</f>
        <v>(256,256,3)</v>
      </c>
      <c r="F50" s="21" t="str">
        <f>IFERROR(__xludf.DUMMYFUNCTION("""COMPUTED_VALUE"""),"FC")</f>
        <v>FC</v>
      </c>
      <c r="G50" s="21">
        <f>IFERROR(__xludf.DUMMYFUNCTION("""COMPUTED_VALUE"""),"0.3")</f>
        <v>0.3</v>
      </c>
      <c r="H50" s="21" t="str">
        <f>IFERROR(__xludf.DUMMYFUNCTION("""COMPUTED_VALUE"""),"SGD")</f>
        <v>SGD</v>
      </c>
      <c r="I50" s="21">
        <f>IFERROR(__xludf.DUMMYFUNCTION("""COMPUTED_VALUE"""),"0.0001")</f>
        <v>0.0001</v>
      </c>
      <c r="J50" s="21">
        <f>IFERROR(__xludf.DUMMYFUNCTION("""COMPUTED_VALUE"""),"15")</f>
        <v>15</v>
      </c>
      <c r="K50" s="21">
        <f>IFERROR(__xludf.DUMMYFUNCTION("""COMPUTED_VALUE"""),"16")</f>
        <v>16</v>
      </c>
      <c r="L50" s="21">
        <f>IFERROR(__xludf.DUMMYFUNCTION("""COMPUTED_VALUE"""),"62.52873563")</f>
        <v>62.52873563</v>
      </c>
      <c r="M50" s="21">
        <f>IFERROR(__xludf.DUMMYFUNCTION("""COMPUTED_VALUE"""),"1")</f>
        <v>1</v>
      </c>
      <c r="N50" s="9" t="s">
        <v>58</v>
      </c>
      <c r="O50" s="26">
        <f t="shared" si="2"/>
        <v>0.49</v>
      </c>
      <c r="P50" s="21">
        <f>IFERROR(__xludf.DUMMYFUNCTION("""COMPUTED_VALUE"""),"0.57")</f>
        <v>0.57</v>
      </c>
      <c r="Q50" s="21">
        <f>IFERROR(__xludf.DUMMYFUNCTION("""COMPUTED_VALUE"""),"0.53")</f>
        <v>0.53</v>
      </c>
      <c r="R50" s="21">
        <f>IFERROR(__xludf.DUMMYFUNCTION("""COMPUTED_VALUE"""),"297")</f>
        <v>297</v>
      </c>
      <c r="S50" s="9" t="s">
        <v>29</v>
      </c>
    </row>
    <row r="51">
      <c r="A51" s="13">
        <v>23.0</v>
      </c>
      <c r="B51" s="9" t="s">
        <v>57</v>
      </c>
      <c r="C51" s="21" t="str">
        <f t="shared" si="3"/>
        <v>VGG19TransferLearning</v>
      </c>
      <c r="D51" s="21">
        <f>IFERROR(__xludf.DUMMYFUNCTION("""COMPUTED_VALUE"""),"8697")</f>
        <v>8697</v>
      </c>
      <c r="E51" s="21" t="str">
        <f>IFERROR(__xludf.DUMMYFUNCTION("""COMPUTED_VALUE"""),"(256,256,3)")</f>
        <v>(256,256,3)</v>
      </c>
      <c r="F51" s="21" t="str">
        <f>IFERROR(__xludf.DUMMYFUNCTION("""COMPUTED_VALUE"""),"FC")</f>
        <v>FC</v>
      </c>
      <c r="G51" s="21">
        <f>IFERROR(__xludf.DUMMYFUNCTION("""COMPUTED_VALUE"""),"0.3")</f>
        <v>0.3</v>
      </c>
      <c r="H51" s="21" t="str">
        <f>IFERROR(__xludf.DUMMYFUNCTION("""COMPUTED_VALUE"""),"SGD")</f>
        <v>SGD</v>
      </c>
      <c r="I51" s="21">
        <f>IFERROR(__xludf.DUMMYFUNCTION("""COMPUTED_VALUE"""),"0.0001")</f>
        <v>0.0001</v>
      </c>
      <c r="J51" s="21">
        <f>IFERROR(__xludf.DUMMYFUNCTION("""COMPUTED_VALUE"""),"15")</f>
        <v>15</v>
      </c>
      <c r="K51" s="21">
        <f>IFERROR(__xludf.DUMMYFUNCTION("""COMPUTED_VALUE"""),"16")</f>
        <v>16</v>
      </c>
      <c r="L51" s="21">
        <f>IFERROR(__xludf.DUMMYFUNCTION("""COMPUTED_VALUE"""),"62.52873563")</f>
        <v>62.52873563</v>
      </c>
      <c r="M51" s="21">
        <f>IFERROR(__xludf.DUMMYFUNCTION("""COMPUTED_VALUE"""),"1")</f>
        <v>1</v>
      </c>
      <c r="N51" s="9" t="s">
        <v>59</v>
      </c>
      <c r="O51" s="26">
        <f t="shared" si="2"/>
        <v>0.62</v>
      </c>
      <c r="P51" s="21">
        <f>IFERROR(__xludf.DUMMYFUNCTION("""COMPUTED_VALUE"""),"0.64")</f>
        <v>0.64</v>
      </c>
      <c r="Q51" s="21">
        <f>IFERROR(__xludf.DUMMYFUNCTION("""COMPUTED_VALUE"""),"0.63")</f>
        <v>0.63</v>
      </c>
      <c r="R51" s="21">
        <f>IFERROR(__xludf.DUMMYFUNCTION("""COMPUTED_VALUE"""),"264")</f>
        <v>264</v>
      </c>
      <c r="S51" s="13" t="s">
        <v>32</v>
      </c>
    </row>
    <row r="52">
      <c r="A52" s="13">
        <v>23.0</v>
      </c>
      <c r="B52" s="9" t="s">
        <v>57</v>
      </c>
      <c r="C52" s="21" t="str">
        <f t="shared" si="3"/>
        <v>VGG19TransferLearning</v>
      </c>
      <c r="D52" s="21">
        <f>IFERROR(__xludf.DUMMYFUNCTION("""COMPUTED_VALUE"""),"8697")</f>
        <v>8697</v>
      </c>
      <c r="E52" s="21" t="str">
        <f>IFERROR(__xludf.DUMMYFUNCTION("""COMPUTED_VALUE"""),"(256,256,3)")</f>
        <v>(256,256,3)</v>
      </c>
      <c r="F52" s="21" t="str">
        <f>IFERROR(__xludf.DUMMYFUNCTION("""COMPUTED_VALUE"""),"FC")</f>
        <v>FC</v>
      </c>
      <c r="G52" s="21">
        <f>IFERROR(__xludf.DUMMYFUNCTION("""COMPUTED_VALUE"""),"0.3")</f>
        <v>0.3</v>
      </c>
      <c r="H52" s="21" t="str">
        <f>IFERROR(__xludf.DUMMYFUNCTION("""COMPUTED_VALUE"""),"SGD")</f>
        <v>SGD</v>
      </c>
      <c r="I52" s="21">
        <f>IFERROR(__xludf.DUMMYFUNCTION("""COMPUTED_VALUE"""),"0.0001")</f>
        <v>0.0001</v>
      </c>
      <c r="J52" s="21">
        <f>IFERROR(__xludf.DUMMYFUNCTION("""COMPUTED_VALUE"""),"15")</f>
        <v>15</v>
      </c>
      <c r="K52" s="21">
        <f>IFERROR(__xludf.DUMMYFUNCTION("""COMPUTED_VALUE"""),"16")</f>
        <v>16</v>
      </c>
      <c r="L52" s="21">
        <f>IFERROR(__xludf.DUMMYFUNCTION("""COMPUTED_VALUE"""),"62.52873563")</f>
        <v>62.52873563</v>
      </c>
      <c r="M52" s="21">
        <f>IFERROR(__xludf.DUMMYFUNCTION("""COMPUTED_VALUE"""),"1")</f>
        <v>1</v>
      </c>
      <c r="N52" s="9" t="s">
        <v>60</v>
      </c>
      <c r="O52" s="26">
        <f t="shared" si="2"/>
        <v>0.8</v>
      </c>
      <c r="P52" s="21">
        <f>IFERROR(__xludf.DUMMYFUNCTION("""COMPUTED_VALUE"""),"0.67")</f>
        <v>0.67</v>
      </c>
      <c r="Q52" s="21">
        <f>IFERROR(__xludf.DUMMYFUNCTION("""COMPUTED_VALUE"""),"0.73")</f>
        <v>0.73</v>
      </c>
      <c r="R52" s="21">
        <f>IFERROR(__xludf.DUMMYFUNCTION("""COMPUTED_VALUE"""),"309")</f>
        <v>309</v>
      </c>
      <c r="S52" s="9" t="s">
        <v>21</v>
      </c>
    </row>
    <row r="53">
      <c r="A53" s="13">
        <v>22.0</v>
      </c>
      <c r="B53" s="9" t="s">
        <v>61</v>
      </c>
      <c r="C53" s="21" t="str">
        <f t="shared" si="3"/>
        <v>VGG19TransferLearning</v>
      </c>
      <c r="D53" s="21">
        <f>IFERROR(__xludf.DUMMYFUNCTION("""COMPUTED_VALUE"""),"5798")</f>
        <v>5798</v>
      </c>
      <c r="E53" s="21" t="str">
        <f>IFERROR(__xludf.DUMMYFUNCTION("""COMPUTED_VALUE"""),"(256,256,3)")</f>
        <v>(256,256,3)</v>
      </c>
      <c r="F53" s="21" t="str">
        <f>IFERROR(__xludf.DUMMYFUNCTION("""COMPUTED_VALUE"""),"FC")</f>
        <v>FC</v>
      </c>
      <c r="G53" s="21">
        <f>IFERROR(__xludf.DUMMYFUNCTION("""COMPUTED_VALUE"""),"0.3")</f>
        <v>0.3</v>
      </c>
      <c r="H53" s="21" t="str">
        <f>IFERROR(__xludf.DUMMYFUNCTION("""COMPUTED_VALUE"""),"Adam")</f>
        <v>Adam</v>
      </c>
      <c r="I53" s="21">
        <f>IFERROR(__xludf.DUMMYFUNCTION("""COMPUTED_VALUE"""),"0.0001")</f>
        <v>0.0001</v>
      </c>
      <c r="J53" s="21">
        <f>IFERROR(__xludf.DUMMYFUNCTION("""COMPUTED_VALUE"""),"15")</f>
        <v>15</v>
      </c>
      <c r="K53" s="21">
        <f>IFERROR(__xludf.DUMMYFUNCTION("""COMPUTED_VALUE"""),"16")</f>
        <v>16</v>
      </c>
      <c r="L53" s="21">
        <f>IFERROR(__xludf.DUMMYFUNCTION("""COMPUTED_VALUE"""),"66.20689655")</f>
        <v>66.20689655</v>
      </c>
      <c r="M53" s="21">
        <f>IFERROR(__xludf.DUMMYFUNCTION("""COMPUTED_VALUE"""),"1")</f>
        <v>1</v>
      </c>
      <c r="N53" s="9" t="s">
        <v>62</v>
      </c>
      <c r="O53" s="26">
        <f t="shared" si="2"/>
        <v>0.6</v>
      </c>
      <c r="P53" s="21">
        <f>IFERROR(__xludf.DUMMYFUNCTION("""COMPUTED_VALUE"""),"0.6")</f>
        <v>0.6</v>
      </c>
      <c r="Q53" s="21">
        <f>IFERROR(__xludf.DUMMYFUNCTION("""COMPUTED_VALUE"""),"0.6")</f>
        <v>0.6</v>
      </c>
      <c r="R53" s="21">
        <f>IFERROR(__xludf.DUMMYFUNCTION("""COMPUTED_VALUE"""),"229")</f>
        <v>229</v>
      </c>
      <c r="S53" s="9" t="s">
        <v>29</v>
      </c>
    </row>
    <row r="54">
      <c r="A54" s="13">
        <v>22.0</v>
      </c>
      <c r="B54" s="9" t="s">
        <v>61</v>
      </c>
      <c r="C54" s="21" t="str">
        <f t="shared" si="3"/>
        <v>VGG19TransferLearning</v>
      </c>
      <c r="D54" s="21">
        <f>IFERROR(__xludf.DUMMYFUNCTION("""COMPUTED_VALUE"""),"5798")</f>
        <v>5798</v>
      </c>
      <c r="E54" s="21" t="str">
        <f>IFERROR(__xludf.DUMMYFUNCTION("""COMPUTED_VALUE"""),"(256,256,3)")</f>
        <v>(256,256,3)</v>
      </c>
      <c r="F54" s="21" t="str">
        <f>IFERROR(__xludf.DUMMYFUNCTION("""COMPUTED_VALUE"""),"FC")</f>
        <v>FC</v>
      </c>
      <c r="G54" s="21">
        <f>IFERROR(__xludf.DUMMYFUNCTION("""COMPUTED_VALUE"""),"0.3")</f>
        <v>0.3</v>
      </c>
      <c r="H54" s="21" t="str">
        <f>IFERROR(__xludf.DUMMYFUNCTION("""COMPUTED_VALUE"""),"Adam")</f>
        <v>Adam</v>
      </c>
      <c r="I54" s="21">
        <f>IFERROR(__xludf.DUMMYFUNCTION("""COMPUTED_VALUE"""),"0.0001")</f>
        <v>0.0001</v>
      </c>
      <c r="J54" s="21">
        <f>IFERROR(__xludf.DUMMYFUNCTION("""COMPUTED_VALUE"""),"15")</f>
        <v>15</v>
      </c>
      <c r="K54" s="21">
        <f>IFERROR(__xludf.DUMMYFUNCTION("""COMPUTED_VALUE"""),"16")</f>
        <v>16</v>
      </c>
      <c r="L54" s="21">
        <f>IFERROR(__xludf.DUMMYFUNCTION("""COMPUTED_VALUE"""),"66.20689655")</f>
        <v>66.20689655</v>
      </c>
      <c r="M54" s="21">
        <f>IFERROR(__xludf.DUMMYFUNCTION("""COMPUTED_VALUE"""),"1")</f>
        <v>1</v>
      </c>
      <c r="N54" s="9" t="s">
        <v>63</v>
      </c>
      <c r="O54" s="26">
        <f t="shared" si="2"/>
        <v>0.61</v>
      </c>
      <c r="P54" s="21">
        <f>IFERROR(__xludf.DUMMYFUNCTION("""COMPUTED_VALUE"""),"0.69")</f>
        <v>0.69</v>
      </c>
      <c r="Q54" s="21">
        <f>IFERROR(__xludf.DUMMYFUNCTION("""COMPUTED_VALUE"""),"0.65")</f>
        <v>0.65</v>
      </c>
      <c r="R54" s="21">
        <f>IFERROR(__xludf.DUMMYFUNCTION("""COMPUTED_VALUE"""),"158")</f>
        <v>158</v>
      </c>
      <c r="S54" s="13" t="s">
        <v>32</v>
      </c>
    </row>
    <row r="55">
      <c r="A55" s="13">
        <v>22.0</v>
      </c>
      <c r="B55" s="9" t="s">
        <v>61</v>
      </c>
      <c r="C55" s="21" t="str">
        <f t="shared" si="3"/>
        <v>VGG19TransferLearning</v>
      </c>
      <c r="D55" s="21">
        <f>IFERROR(__xludf.DUMMYFUNCTION("""COMPUTED_VALUE"""),"5798")</f>
        <v>5798</v>
      </c>
      <c r="E55" s="21" t="str">
        <f>IFERROR(__xludf.DUMMYFUNCTION("""COMPUTED_VALUE"""),"(256,256,3)")</f>
        <v>(256,256,3)</v>
      </c>
      <c r="F55" s="21" t="str">
        <f>IFERROR(__xludf.DUMMYFUNCTION("""COMPUTED_VALUE"""),"FC")</f>
        <v>FC</v>
      </c>
      <c r="G55" s="21">
        <f>IFERROR(__xludf.DUMMYFUNCTION("""COMPUTED_VALUE"""),"0.3")</f>
        <v>0.3</v>
      </c>
      <c r="H55" s="21" t="str">
        <f>IFERROR(__xludf.DUMMYFUNCTION("""COMPUTED_VALUE"""),"Adam")</f>
        <v>Adam</v>
      </c>
      <c r="I55" s="21">
        <f>IFERROR(__xludf.DUMMYFUNCTION("""COMPUTED_VALUE"""),"0.0001")</f>
        <v>0.0001</v>
      </c>
      <c r="J55" s="21">
        <f>IFERROR(__xludf.DUMMYFUNCTION("""COMPUTED_VALUE"""),"15")</f>
        <v>15</v>
      </c>
      <c r="K55" s="21">
        <f>IFERROR(__xludf.DUMMYFUNCTION("""COMPUTED_VALUE"""),"16")</f>
        <v>16</v>
      </c>
      <c r="L55" s="21">
        <f>IFERROR(__xludf.DUMMYFUNCTION("""COMPUTED_VALUE"""),"66.20689655")</f>
        <v>66.20689655</v>
      </c>
      <c r="M55" s="21">
        <f>IFERROR(__xludf.DUMMYFUNCTION("""COMPUTED_VALUE"""),"1")</f>
        <v>1</v>
      </c>
      <c r="N55" s="9" t="s">
        <v>64</v>
      </c>
      <c r="O55" s="26">
        <f t="shared" si="2"/>
        <v>0.81</v>
      </c>
      <c r="P55" s="21">
        <f>IFERROR(__xludf.DUMMYFUNCTION("""COMPUTED_VALUE"""),"0.72")</f>
        <v>0.72</v>
      </c>
      <c r="Q55" s="21">
        <f>IFERROR(__xludf.DUMMYFUNCTION("""COMPUTED_VALUE"""),"0.76")</f>
        <v>0.76</v>
      </c>
      <c r="R55" s="21">
        <f>IFERROR(__xludf.DUMMYFUNCTION("""COMPUTED_VALUE"""),"193")</f>
        <v>193</v>
      </c>
      <c r="S55" s="9" t="s">
        <v>21</v>
      </c>
    </row>
    <row r="56">
      <c r="A56" s="13">
        <v>21.0</v>
      </c>
      <c r="B56" s="9" t="s">
        <v>65</v>
      </c>
      <c r="C56" s="21" t="str">
        <f t="shared" si="3"/>
        <v>VGG19TransferLearning</v>
      </c>
      <c r="D56" s="21">
        <f>IFERROR(__xludf.DUMMYFUNCTION("""COMPUTED_VALUE"""),"5798")</f>
        <v>5798</v>
      </c>
      <c r="E56" s="21" t="str">
        <f>IFERROR(__xludf.DUMMYFUNCTION("""COMPUTED_VALUE"""),"(256,256,3)")</f>
        <v>(256,256,3)</v>
      </c>
      <c r="F56" s="21" t="str">
        <f>IFERROR(__xludf.DUMMYFUNCTION("""COMPUTED_VALUE"""),"FC")</f>
        <v>FC</v>
      </c>
      <c r="G56" s="21">
        <f>IFERROR(__xludf.DUMMYFUNCTION("""COMPUTED_VALUE"""),"0.3")</f>
        <v>0.3</v>
      </c>
      <c r="H56" s="21" t="str">
        <f>IFERROR(__xludf.DUMMYFUNCTION("""COMPUTED_VALUE"""),"Adam")</f>
        <v>Adam</v>
      </c>
      <c r="I56" s="21">
        <f>IFERROR(__xludf.DUMMYFUNCTION("""COMPUTED_VALUE"""),"0.0001")</f>
        <v>0.0001</v>
      </c>
      <c r="J56" s="21">
        <f>IFERROR(__xludf.DUMMYFUNCTION("""COMPUTED_VALUE"""),"20")</f>
        <v>20</v>
      </c>
      <c r="K56" s="21">
        <f>IFERROR(__xludf.DUMMYFUNCTION("""COMPUTED_VALUE"""),"10")</f>
        <v>10</v>
      </c>
      <c r="L56" s="21">
        <f>IFERROR(__xludf.DUMMYFUNCTION("""COMPUTED_VALUE"""),"67.93103448")</f>
        <v>67.93103448</v>
      </c>
      <c r="M56" s="21">
        <f>IFERROR(__xludf.DUMMYFUNCTION("""COMPUTED_VALUE"""),"1")</f>
        <v>1</v>
      </c>
      <c r="N56" s="9" t="s">
        <v>66</v>
      </c>
      <c r="O56" s="26">
        <f t="shared" si="2"/>
        <v>0.55</v>
      </c>
      <c r="P56" s="21">
        <f>IFERROR(__xludf.DUMMYFUNCTION("""COMPUTED_VALUE"""),"0.65")</f>
        <v>0.65</v>
      </c>
      <c r="Q56" s="21">
        <f>IFERROR(__xludf.DUMMYFUNCTION("""COMPUTED_VALUE"""),"0.59")</f>
        <v>0.59</v>
      </c>
      <c r="R56" s="21">
        <f>IFERROR(__xludf.DUMMYFUNCTION("""COMPUTED_VALUE"""),"195")</f>
        <v>195</v>
      </c>
      <c r="S56" s="9" t="s">
        <v>29</v>
      </c>
    </row>
    <row r="57">
      <c r="A57" s="13">
        <v>21.0</v>
      </c>
      <c r="B57" s="9" t="s">
        <v>65</v>
      </c>
      <c r="C57" s="21" t="str">
        <f t="shared" si="3"/>
        <v>VGG19TransferLearning</v>
      </c>
      <c r="D57" s="21">
        <f>IFERROR(__xludf.DUMMYFUNCTION("""COMPUTED_VALUE"""),"5798")</f>
        <v>5798</v>
      </c>
      <c r="E57" s="21" t="str">
        <f>IFERROR(__xludf.DUMMYFUNCTION("""COMPUTED_VALUE"""),"(256,256,3)")</f>
        <v>(256,256,3)</v>
      </c>
      <c r="F57" s="21" t="str">
        <f>IFERROR(__xludf.DUMMYFUNCTION("""COMPUTED_VALUE"""),"FC")</f>
        <v>FC</v>
      </c>
      <c r="G57" s="21">
        <f>IFERROR(__xludf.DUMMYFUNCTION("""COMPUTED_VALUE"""),"0.3")</f>
        <v>0.3</v>
      </c>
      <c r="H57" s="21" t="str">
        <f>IFERROR(__xludf.DUMMYFUNCTION("""COMPUTED_VALUE"""),"Adam")</f>
        <v>Adam</v>
      </c>
      <c r="I57" s="21">
        <f>IFERROR(__xludf.DUMMYFUNCTION("""COMPUTED_VALUE"""),"0.0001")</f>
        <v>0.0001</v>
      </c>
      <c r="J57" s="21">
        <f>IFERROR(__xludf.DUMMYFUNCTION("""COMPUTED_VALUE"""),"20")</f>
        <v>20</v>
      </c>
      <c r="K57" s="21">
        <f>IFERROR(__xludf.DUMMYFUNCTION("""COMPUTED_VALUE"""),"10")</f>
        <v>10</v>
      </c>
      <c r="L57" s="21">
        <f>IFERROR(__xludf.DUMMYFUNCTION("""COMPUTED_VALUE"""),"67.93103448")</f>
        <v>67.93103448</v>
      </c>
      <c r="M57" s="21">
        <f>IFERROR(__xludf.DUMMYFUNCTION("""COMPUTED_VALUE"""),"1")</f>
        <v>1</v>
      </c>
      <c r="N57" s="9" t="s">
        <v>67</v>
      </c>
      <c r="O57" s="26">
        <f t="shared" si="2"/>
        <v>0.71</v>
      </c>
      <c r="P57" s="21">
        <f>IFERROR(__xludf.DUMMYFUNCTION("""COMPUTED_VALUE"""),"0.66")</f>
        <v>0.66</v>
      </c>
      <c r="Q57" s="21">
        <f>IFERROR(__xludf.DUMMYFUNCTION("""COMPUTED_VALUE"""),"0.68")</f>
        <v>0.68</v>
      </c>
      <c r="R57" s="21">
        <f>IFERROR(__xludf.DUMMYFUNCTION("""COMPUTED_VALUE"""),"193")</f>
        <v>193</v>
      </c>
      <c r="S57" s="13" t="s">
        <v>32</v>
      </c>
    </row>
    <row r="58">
      <c r="A58" s="13">
        <v>21.0</v>
      </c>
      <c r="B58" s="9" t="s">
        <v>65</v>
      </c>
      <c r="C58" s="21" t="str">
        <f t="shared" si="3"/>
        <v>VGG19TransferLearning</v>
      </c>
      <c r="D58" s="21">
        <f>IFERROR(__xludf.DUMMYFUNCTION("""COMPUTED_VALUE"""),"5798")</f>
        <v>5798</v>
      </c>
      <c r="E58" s="21" t="str">
        <f>IFERROR(__xludf.DUMMYFUNCTION("""COMPUTED_VALUE"""),"(256,256,3)")</f>
        <v>(256,256,3)</v>
      </c>
      <c r="F58" s="21" t="str">
        <f>IFERROR(__xludf.DUMMYFUNCTION("""COMPUTED_VALUE"""),"FC")</f>
        <v>FC</v>
      </c>
      <c r="G58" s="21">
        <f>IFERROR(__xludf.DUMMYFUNCTION("""COMPUTED_VALUE"""),"0.3")</f>
        <v>0.3</v>
      </c>
      <c r="H58" s="21" t="str">
        <f>IFERROR(__xludf.DUMMYFUNCTION("""COMPUTED_VALUE"""),"Adam")</f>
        <v>Adam</v>
      </c>
      <c r="I58" s="21">
        <f>IFERROR(__xludf.DUMMYFUNCTION("""COMPUTED_VALUE"""),"0.0001")</f>
        <v>0.0001</v>
      </c>
      <c r="J58" s="21">
        <f>IFERROR(__xludf.DUMMYFUNCTION("""COMPUTED_VALUE"""),"20")</f>
        <v>20</v>
      </c>
      <c r="K58" s="21">
        <f>IFERROR(__xludf.DUMMYFUNCTION("""COMPUTED_VALUE"""),"10")</f>
        <v>10</v>
      </c>
      <c r="L58" s="21">
        <f>IFERROR(__xludf.DUMMYFUNCTION("""COMPUTED_VALUE"""),"67.93103448")</f>
        <v>67.93103448</v>
      </c>
      <c r="M58" s="21">
        <f>IFERROR(__xludf.DUMMYFUNCTION("""COMPUTED_VALUE"""),"1")</f>
        <v>1</v>
      </c>
      <c r="N58" s="9" t="s">
        <v>68</v>
      </c>
      <c r="O58" s="26">
        <f t="shared" si="2"/>
        <v>0.82</v>
      </c>
      <c r="P58" s="21">
        <f>IFERROR(__xludf.DUMMYFUNCTION("""COMPUTED_VALUE"""),"0.73")</f>
        <v>0.73</v>
      </c>
      <c r="Q58" s="21">
        <f>IFERROR(__xludf.DUMMYFUNCTION("""COMPUTED_VALUE"""),"0.78")</f>
        <v>0.78</v>
      </c>
      <c r="R58" s="21">
        <f>IFERROR(__xludf.DUMMYFUNCTION("""COMPUTED_VALUE"""),"192")</f>
        <v>192</v>
      </c>
      <c r="S58" s="9" t="s">
        <v>21</v>
      </c>
    </row>
    <row r="59">
      <c r="A59" s="13">
        <v>20.0</v>
      </c>
      <c r="B59" s="9" t="s">
        <v>69</v>
      </c>
      <c r="C59" s="21" t="str">
        <f t="shared" si="3"/>
        <v>VGG19TransferLearning</v>
      </c>
      <c r="D59" s="21">
        <f>IFERROR(__xludf.DUMMYFUNCTION("""COMPUTED_VALUE"""),"5798")</f>
        <v>5798</v>
      </c>
      <c r="E59" s="21" t="str">
        <f>IFERROR(__xludf.DUMMYFUNCTION("""COMPUTED_VALUE"""),"(256,256,3)")</f>
        <v>(256,256,3)</v>
      </c>
      <c r="F59" s="21" t="str">
        <f>IFERROR(__xludf.DUMMYFUNCTION("""COMPUTED_VALUE"""),"FC")</f>
        <v>FC</v>
      </c>
      <c r="G59" s="21">
        <f>IFERROR(__xludf.DUMMYFUNCTION("""COMPUTED_VALUE"""),"0.3")</f>
        <v>0.3</v>
      </c>
      <c r="H59" s="21" t="str">
        <f>IFERROR(__xludf.DUMMYFUNCTION("""COMPUTED_VALUE"""),"Adam")</f>
        <v>Adam</v>
      </c>
      <c r="I59" s="21">
        <f>IFERROR(__xludf.DUMMYFUNCTION("""COMPUTED_VALUE"""),"0.0001")</f>
        <v>0.0001</v>
      </c>
      <c r="J59" s="21">
        <f>IFERROR(__xludf.DUMMYFUNCTION("""COMPUTED_VALUE"""),"10")</f>
        <v>10</v>
      </c>
      <c r="K59" s="21">
        <f>IFERROR(__xludf.DUMMYFUNCTION("""COMPUTED_VALUE"""),"24")</f>
        <v>24</v>
      </c>
      <c r="L59" s="21">
        <f>IFERROR(__xludf.DUMMYFUNCTION("""COMPUTED_VALUE"""),"66.37931034")</f>
        <v>66.37931034</v>
      </c>
      <c r="M59" s="21">
        <f>IFERROR(__xludf.DUMMYFUNCTION("""COMPUTED_VALUE"""),"1")</f>
        <v>1</v>
      </c>
      <c r="N59" s="9" t="s">
        <v>70</v>
      </c>
      <c r="O59" s="26">
        <f t="shared" si="2"/>
        <v>0.56</v>
      </c>
      <c r="P59" s="21">
        <f>IFERROR(__xludf.DUMMYFUNCTION("""COMPUTED_VALUE"""),"0.62")</f>
        <v>0.62</v>
      </c>
      <c r="Q59" s="21">
        <f>IFERROR(__xludf.DUMMYFUNCTION("""COMPUTED_VALUE"""),"0.59")</f>
        <v>0.59</v>
      </c>
      <c r="R59" s="21">
        <f>IFERROR(__xludf.DUMMYFUNCTION("""COMPUTED_VALUE"""),"208")</f>
        <v>208</v>
      </c>
      <c r="S59" s="9" t="s">
        <v>29</v>
      </c>
    </row>
    <row r="60">
      <c r="A60" s="13">
        <v>20.0</v>
      </c>
      <c r="B60" s="9" t="s">
        <v>69</v>
      </c>
      <c r="C60" s="21" t="str">
        <f t="shared" si="3"/>
        <v>VGG19TransferLearning</v>
      </c>
      <c r="D60" s="21">
        <f>IFERROR(__xludf.DUMMYFUNCTION("""COMPUTED_VALUE"""),"5798")</f>
        <v>5798</v>
      </c>
      <c r="E60" s="21" t="str">
        <f>IFERROR(__xludf.DUMMYFUNCTION("""COMPUTED_VALUE"""),"(256,256,3)")</f>
        <v>(256,256,3)</v>
      </c>
      <c r="F60" s="21" t="str">
        <f>IFERROR(__xludf.DUMMYFUNCTION("""COMPUTED_VALUE"""),"FC")</f>
        <v>FC</v>
      </c>
      <c r="G60" s="21">
        <f>IFERROR(__xludf.DUMMYFUNCTION("""COMPUTED_VALUE"""),"0.3")</f>
        <v>0.3</v>
      </c>
      <c r="H60" s="21" t="str">
        <f>IFERROR(__xludf.DUMMYFUNCTION("""COMPUTED_VALUE"""),"Adam")</f>
        <v>Adam</v>
      </c>
      <c r="I60" s="21">
        <f>IFERROR(__xludf.DUMMYFUNCTION("""COMPUTED_VALUE"""),"0.0001")</f>
        <v>0.0001</v>
      </c>
      <c r="J60" s="21">
        <f>IFERROR(__xludf.DUMMYFUNCTION("""COMPUTED_VALUE"""),"10")</f>
        <v>10</v>
      </c>
      <c r="K60" s="21">
        <f>IFERROR(__xludf.DUMMYFUNCTION("""COMPUTED_VALUE"""),"24")</f>
        <v>24</v>
      </c>
      <c r="L60" s="21">
        <f>IFERROR(__xludf.DUMMYFUNCTION("""COMPUTED_VALUE"""),"66.37931034")</f>
        <v>66.37931034</v>
      </c>
      <c r="M60" s="21">
        <f>IFERROR(__xludf.DUMMYFUNCTION("""COMPUTED_VALUE"""),"1")</f>
        <v>1</v>
      </c>
      <c r="N60" s="9" t="s">
        <v>70</v>
      </c>
      <c r="O60" s="26">
        <f t="shared" si="2"/>
        <v>0.56</v>
      </c>
      <c r="P60" s="21">
        <f>IFERROR(__xludf.DUMMYFUNCTION("""COMPUTED_VALUE"""),"0.62")</f>
        <v>0.62</v>
      </c>
      <c r="Q60" s="21">
        <f>IFERROR(__xludf.DUMMYFUNCTION("""COMPUTED_VALUE"""),"0.59")</f>
        <v>0.59</v>
      </c>
      <c r="R60" s="21">
        <f>IFERROR(__xludf.DUMMYFUNCTION("""COMPUTED_VALUE"""),"208")</f>
        <v>208</v>
      </c>
      <c r="S60" s="9" t="s">
        <v>21</v>
      </c>
    </row>
    <row r="61">
      <c r="A61" s="13">
        <v>20.0</v>
      </c>
      <c r="B61" s="9" t="s">
        <v>69</v>
      </c>
      <c r="C61" s="21" t="str">
        <f t="shared" si="3"/>
        <v>VGG19TransferLearning</v>
      </c>
      <c r="D61" s="21">
        <f>IFERROR(__xludf.DUMMYFUNCTION("""COMPUTED_VALUE"""),"5798")</f>
        <v>5798</v>
      </c>
      <c r="E61" s="21" t="str">
        <f>IFERROR(__xludf.DUMMYFUNCTION("""COMPUTED_VALUE"""),"(256,256,3)")</f>
        <v>(256,256,3)</v>
      </c>
      <c r="F61" s="21" t="str">
        <f>IFERROR(__xludf.DUMMYFUNCTION("""COMPUTED_VALUE"""),"FC")</f>
        <v>FC</v>
      </c>
      <c r="G61" s="21">
        <f>IFERROR(__xludf.DUMMYFUNCTION("""COMPUTED_VALUE"""),"0.3")</f>
        <v>0.3</v>
      </c>
      <c r="H61" s="21" t="str">
        <f>IFERROR(__xludf.DUMMYFUNCTION("""COMPUTED_VALUE"""),"Adam")</f>
        <v>Adam</v>
      </c>
      <c r="I61" s="21">
        <f>IFERROR(__xludf.DUMMYFUNCTION("""COMPUTED_VALUE"""),"0.0001")</f>
        <v>0.0001</v>
      </c>
      <c r="J61" s="21">
        <f>IFERROR(__xludf.DUMMYFUNCTION("""COMPUTED_VALUE"""),"10")</f>
        <v>10</v>
      </c>
      <c r="K61" s="21">
        <f>IFERROR(__xludf.DUMMYFUNCTION("""COMPUTED_VALUE"""),"24")</f>
        <v>24</v>
      </c>
      <c r="L61" s="21">
        <f>IFERROR(__xludf.DUMMYFUNCTION("""COMPUTED_VALUE"""),"66.37931034")</f>
        <v>66.37931034</v>
      </c>
      <c r="M61" s="21">
        <f>IFERROR(__xludf.DUMMYFUNCTION("""COMPUTED_VALUE"""),"1")</f>
        <v>1</v>
      </c>
      <c r="N61" s="9" t="s">
        <v>71</v>
      </c>
      <c r="O61" s="26">
        <f t="shared" si="2"/>
        <v>0.66</v>
      </c>
      <c r="P61" s="21">
        <f>IFERROR(__xludf.DUMMYFUNCTION("""COMPUTED_VALUE"""),"0.66")</f>
        <v>0.66</v>
      </c>
      <c r="Q61" s="21">
        <f>IFERROR(__xludf.DUMMYFUNCTION("""COMPUTED_VALUE"""),"0.66")</f>
        <v>0.66</v>
      </c>
      <c r="R61" s="21">
        <f>IFERROR(__xludf.DUMMYFUNCTION("""COMPUTED_VALUE"""),"181")</f>
        <v>181</v>
      </c>
      <c r="S61" s="13" t="s">
        <v>32</v>
      </c>
    </row>
    <row r="62">
      <c r="A62" s="13">
        <v>19.0</v>
      </c>
      <c r="B62" s="9" t="s">
        <v>72</v>
      </c>
      <c r="C62" s="21" t="str">
        <f t="shared" si="3"/>
        <v>VGG19TransferLearning</v>
      </c>
      <c r="D62" s="21">
        <f>IFERROR(__xludf.DUMMYFUNCTION("""COMPUTED_VALUE"""),"5798")</f>
        <v>5798</v>
      </c>
      <c r="E62" s="21" t="str">
        <f>IFERROR(__xludf.DUMMYFUNCTION("""COMPUTED_VALUE"""),"(256,256,3)")</f>
        <v>(256,256,3)</v>
      </c>
      <c r="F62" s="21" t="str">
        <f>IFERROR(__xludf.DUMMYFUNCTION("""COMPUTED_VALUE"""),"FC")</f>
        <v>FC</v>
      </c>
      <c r="G62" s="21">
        <f>IFERROR(__xludf.DUMMYFUNCTION("""COMPUTED_VALUE"""),"0.3")</f>
        <v>0.3</v>
      </c>
      <c r="H62" s="21" t="str">
        <f>IFERROR(__xludf.DUMMYFUNCTION("""COMPUTED_VALUE"""),"Adam")</f>
        <v>Adam</v>
      </c>
      <c r="I62" s="21">
        <f>IFERROR(__xludf.DUMMYFUNCTION("""COMPUTED_VALUE"""),"0.0001")</f>
        <v>0.0001</v>
      </c>
      <c r="J62" s="21">
        <f>IFERROR(__xludf.DUMMYFUNCTION("""COMPUTED_VALUE"""),"15")</f>
        <v>15</v>
      </c>
      <c r="K62" s="21">
        <f>IFERROR(__xludf.DUMMYFUNCTION("""COMPUTED_VALUE"""),"16")</f>
        <v>16</v>
      </c>
      <c r="L62" s="21">
        <f>IFERROR(__xludf.DUMMYFUNCTION("""COMPUTED_VALUE"""),"69.82758621")</f>
        <v>69.82758621</v>
      </c>
      <c r="M62" s="21">
        <f>IFERROR(__xludf.DUMMYFUNCTION("""COMPUTED_VALUE"""),"1")</f>
        <v>1</v>
      </c>
      <c r="N62" s="9" t="s">
        <v>73</v>
      </c>
      <c r="O62" s="26">
        <f t="shared" si="2"/>
        <v>0.65</v>
      </c>
      <c r="P62" s="21">
        <f>IFERROR(__xludf.DUMMYFUNCTION("""COMPUTED_VALUE"""),"0.65")</f>
        <v>0.65</v>
      </c>
      <c r="Q62" s="21">
        <f>IFERROR(__xludf.DUMMYFUNCTION("""COMPUTED_VALUE"""),"0.65")</f>
        <v>0.65</v>
      </c>
      <c r="R62" s="21">
        <f>IFERROR(__xludf.DUMMYFUNCTION("""COMPUTED_VALUE"""),"232")</f>
        <v>232</v>
      </c>
      <c r="S62" s="9" t="s">
        <v>29</v>
      </c>
    </row>
    <row r="63">
      <c r="A63" s="13">
        <v>19.0</v>
      </c>
      <c r="B63" s="9" t="s">
        <v>72</v>
      </c>
      <c r="C63" s="21" t="str">
        <f t="shared" si="3"/>
        <v>VGG19TransferLearning</v>
      </c>
      <c r="D63" s="21">
        <f>IFERROR(__xludf.DUMMYFUNCTION("""COMPUTED_VALUE"""),"5798")</f>
        <v>5798</v>
      </c>
      <c r="E63" s="21" t="str">
        <f>IFERROR(__xludf.DUMMYFUNCTION("""COMPUTED_VALUE"""),"(256,256,3)")</f>
        <v>(256,256,3)</v>
      </c>
      <c r="F63" s="21" t="str">
        <f>IFERROR(__xludf.DUMMYFUNCTION("""COMPUTED_VALUE"""),"FC")</f>
        <v>FC</v>
      </c>
      <c r="G63" s="21">
        <f>IFERROR(__xludf.DUMMYFUNCTION("""COMPUTED_VALUE"""),"0.3")</f>
        <v>0.3</v>
      </c>
      <c r="H63" s="21" t="str">
        <f>IFERROR(__xludf.DUMMYFUNCTION("""COMPUTED_VALUE"""),"Adam")</f>
        <v>Adam</v>
      </c>
      <c r="I63" s="21">
        <f>IFERROR(__xludf.DUMMYFUNCTION("""COMPUTED_VALUE"""),"0.0001")</f>
        <v>0.0001</v>
      </c>
      <c r="J63" s="21">
        <f>IFERROR(__xludf.DUMMYFUNCTION("""COMPUTED_VALUE"""),"15")</f>
        <v>15</v>
      </c>
      <c r="K63" s="21">
        <f>IFERROR(__xludf.DUMMYFUNCTION("""COMPUTED_VALUE"""),"16")</f>
        <v>16</v>
      </c>
      <c r="L63" s="21">
        <f>IFERROR(__xludf.DUMMYFUNCTION("""COMPUTED_VALUE"""),"69.82758621")</f>
        <v>69.82758621</v>
      </c>
      <c r="M63" s="21">
        <f>IFERROR(__xludf.DUMMYFUNCTION("""COMPUTED_VALUE"""),"1")</f>
        <v>1</v>
      </c>
      <c r="N63" s="9" t="s">
        <v>74</v>
      </c>
      <c r="O63" s="26">
        <f t="shared" si="2"/>
        <v>0.61</v>
      </c>
      <c r="P63" s="21">
        <f>IFERROR(__xludf.DUMMYFUNCTION("""COMPUTED_VALUE"""),"0.72")</f>
        <v>0.72</v>
      </c>
      <c r="Q63" s="21">
        <f>IFERROR(__xludf.DUMMYFUNCTION("""COMPUTED_VALUE"""),"0.66")</f>
        <v>0.66</v>
      </c>
      <c r="R63" s="21">
        <f>IFERROR(__xludf.DUMMYFUNCTION("""COMPUTED_VALUE"""),"151")</f>
        <v>151</v>
      </c>
      <c r="S63" s="13" t="s">
        <v>32</v>
      </c>
    </row>
    <row r="64">
      <c r="A64" s="13">
        <v>19.0</v>
      </c>
      <c r="B64" s="9" t="s">
        <v>72</v>
      </c>
      <c r="C64" s="21" t="str">
        <f t="shared" si="3"/>
        <v>VGG19TransferLearning</v>
      </c>
      <c r="D64" s="21">
        <f>IFERROR(__xludf.DUMMYFUNCTION("""COMPUTED_VALUE"""),"5798")</f>
        <v>5798</v>
      </c>
      <c r="E64" s="21" t="str">
        <f>IFERROR(__xludf.DUMMYFUNCTION("""COMPUTED_VALUE"""),"(256,256,3)")</f>
        <v>(256,256,3)</v>
      </c>
      <c r="F64" s="21" t="str">
        <f>IFERROR(__xludf.DUMMYFUNCTION("""COMPUTED_VALUE"""),"FC")</f>
        <v>FC</v>
      </c>
      <c r="G64" s="21">
        <f>IFERROR(__xludf.DUMMYFUNCTION("""COMPUTED_VALUE"""),"0.3")</f>
        <v>0.3</v>
      </c>
      <c r="H64" s="21" t="str">
        <f>IFERROR(__xludf.DUMMYFUNCTION("""COMPUTED_VALUE"""),"Adam")</f>
        <v>Adam</v>
      </c>
      <c r="I64" s="21">
        <f>IFERROR(__xludf.DUMMYFUNCTION("""COMPUTED_VALUE"""),"0.0001")</f>
        <v>0.0001</v>
      </c>
      <c r="J64" s="21">
        <f>IFERROR(__xludf.DUMMYFUNCTION("""COMPUTED_VALUE"""),"15")</f>
        <v>15</v>
      </c>
      <c r="K64" s="21">
        <f>IFERROR(__xludf.DUMMYFUNCTION("""COMPUTED_VALUE"""),"16")</f>
        <v>16</v>
      </c>
      <c r="L64" s="21">
        <f>IFERROR(__xludf.DUMMYFUNCTION("""COMPUTED_VALUE"""),"69.82758621")</f>
        <v>69.82758621</v>
      </c>
      <c r="M64" s="21">
        <f>IFERROR(__xludf.DUMMYFUNCTION("""COMPUTED_VALUE"""),"1")</f>
        <v>1</v>
      </c>
      <c r="N64" s="9" t="s">
        <v>75</v>
      </c>
      <c r="O64" s="26">
        <f t="shared" si="2"/>
        <v>0.85</v>
      </c>
      <c r="P64" s="21">
        <f>IFERROR(__xludf.DUMMYFUNCTION("""COMPUTED_VALUE"""),"0.74")</f>
        <v>0.74</v>
      </c>
      <c r="Q64" s="21">
        <f>IFERROR(__xludf.DUMMYFUNCTION("""COMPUTED_VALUE"""),"0.79")</f>
        <v>0.79</v>
      </c>
      <c r="R64" s="21">
        <f>IFERROR(__xludf.DUMMYFUNCTION("""COMPUTED_VALUE"""),"197")</f>
        <v>197</v>
      </c>
      <c r="S64" s="9" t="s">
        <v>21</v>
      </c>
    </row>
    <row r="65">
      <c r="A65" s="13">
        <v>18.0</v>
      </c>
      <c r="B65" s="9" t="s">
        <v>76</v>
      </c>
      <c r="C65" s="21" t="str">
        <f t="shared" si="3"/>
        <v>VGG16TransferLearning</v>
      </c>
      <c r="D65" s="21">
        <f>IFERROR(__xludf.DUMMYFUNCTION("""COMPUTED_VALUE"""),"5798")</f>
        <v>5798</v>
      </c>
      <c r="E65" s="21" t="str">
        <f>IFERROR(__xludf.DUMMYFUNCTION("""COMPUTED_VALUE"""),"(256,256,3)")</f>
        <v>(256,256,3)</v>
      </c>
      <c r="F65" s="21" t="str">
        <f>IFERROR(__xludf.DUMMYFUNCTION("""COMPUTED_VALUE"""),"FC")</f>
        <v>FC</v>
      </c>
      <c r="G65" s="21">
        <f>IFERROR(__xludf.DUMMYFUNCTION("""COMPUTED_VALUE"""),"0.3")</f>
        <v>0.3</v>
      </c>
      <c r="H65" s="21" t="str">
        <f>IFERROR(__xludf.DUMMYFUNCTION("""COMPUTED_VALUE"""),"Adam")</f>
        <v>Adam</v>
      </c>
      <c r="I65" s="21">
        <f>IFERROR(__xludf.DUMMYFUNCTION("""COMPUTED_VALUE"""),"0.0001")</f>
        <v>0.0001</v>
      </c>
      <c r="J65" s="21">
        <f>IFERROR(__xludf.DUMMYFUNCTION("""COMPUTED_VALUE"""),"15")</f>
        <v>15</v>
      </c>
      <c r="K65" s="21">
        <f>IFERROR(__xludf.DUMMYFUNCTION("""COMPUTED_VALUE"""),"24")</f>
        <v>24</v>
      </c>
      <c r="L65" s="21">
        <f>IFERROR(__xludf.DUMMYFUNCTION("""COMPUTED_VALUE"""),"66.55172414")</f>
        <v>66.55172414</v>
      </c>
      <c r="M65" s="21">
        <f>IFERROR(__xludf.DUMMYFUNCTION("""COMPUTED_VALUE"""),"1")</f>
        <v>1</v>
      </c>
      <c r="N65" s="9" t="s">
        <v>77</v>
      </c>
      <c r="O65" s="26">
        <f t="shared" si="2"/>
        <v>0.52</v>
      </c>
      <c r="P65" s="21">
        <f>IFERROR(__xludf.DUMMYFUNCTION("""COMPUTED_VALUE"""),"0.63")</f>
        <v>0.63</v>
      </c>
      <c r="Q65" s="21">
        <f>IFERROR(__xludf.DUMMYFUNCTION("""COMPUTED_VALUE"""),"0.57")</f>
        <v>0.57</v>
      </c>
      <c r="R65" s="21">
        <f>IFERROR(__xludf.DUMMYFUNCTION("""COMPUTED_VALUE"""),"188")</f>
        <v>188</v>
      </c>
      <c r="S65" s="9" t="s">
        <v>29</v>
      </c>
    </row>
    <row r="66">
      <c r="A66" s="13">
        <v>18.0</v>
      </c>
      <c r="B66" s="9" t="s">
        <v>76</v>
      </c>
      <c r="C66" s="21" t="str">
        <f t="shared" si="3"/>
        <v>VGG16TransferLearning</v>
      </c>
      <c r="D66" s="21">
        <f>IFERROR(__xludf.DUMMYFUNCTION("""COMPUTED_VALUE"""),"5798")</f>
        <v>5798</v>
      </c>
      <c r="E66" s="21" t="str">
        <f>IFERROR(__xludf.DUMMYFUNCTION("""COMPUTED_VALUE"""),"(256,256,3)")</f>
        <v>(256,256,3)</v>
      </c>
      <c r="F66" s="21" t="str">
        <f>IFERROR(__xludf.DUMMYFUNCTION("""COMPUTED_VALUE"""),"FC")</f>
        <v>FC</v>
      </c>
      <c r="G66" s="21">
        <f>IFERROR(__xludf.DUMMYFUNCTION("""COMPUTED_VALUE"""),"0.3")</f>
        <v>0.3</v>
      </c>
      <c r="H66" s="21" t="str">
        <f>IFERROR(__xludf.DUMMYFUNCTION("""COMPUTED_VALUE"""),"Adam")</f>
        <v>Adam</v>
      </c>
      <c r="I66" s="21">
        <f>IFERROR(__xludf.DUMMYFUNCTION("""COMPUTED_VALUE"""),"0.0001")</f>
        <v>0.0001</v>
      </c>
      <c r="J66" s="21">
        <f>IFERROR(__xludf.DUMMYFUNCTION("""COMPUTED_VALUE"""),"15")</f>
        <v>15</v>
      </c>
      <c r="K66" s="21">
        <f>IFERROR(__xludf.DUMMYFUNCTION("""COMPUTED_VALUE"""),"24")</f>
        <v>24</v>
      </c>
      <c r="L66" s="21">
        <f>IFERROR(__xludf.DUMMYFUNCTION("""COMPUTED_VALUE"""),"66.55172414")</f>
        <v>66.55172414</v>
      </c>
      <c r="M66" s="21">
        <f>IFERROR(__xludf.DUMMYFUNCTION("""COMPUTED_VALUE"""),"1")</f>
        <v>1</v>
      </c>
      <c r="N66" s="9" t="s">
        <v>78</v>
      </c>
      <c r="O66" s="26">
        <f t="shared" si="2"/>
        <v>0.69</v>
      </c>
      <c r="P66" s="21">
        <f>IFERROR(__xludf.DUMMYFUNCTION("""COMPUTED_VALUE"""),"0.67")</f>
        <v>0.67</v>
      </c>
      <c r="Q66" s="21">
        <f>IFERROR(__xludf.DUMMYFUNCTION("""COMPUTED_VALUE"""),"0.68")</f>
        <v>0.68</v>
      </c>
      <c r="R66" s="21">
        <f>IFERROR(__xludf.DUMMYFUNCTION("""COMPUTED_VALUE"""),"185")</f>
        <v>185</v>
      </c>
      <c r="S66" s="13" t="s">
        <v>32</v>
      </c>
    </row>
    <row r="67">
      <c r="A67" s="13">
        <v>18.0</v>
      </c>
      <c r="B67" s="9" t="s">
        <v>76</v>
      </c>
      <c r="C67" s="21" t="str">
        <f t="shared" si="3"/>
        <v>VGG16TransferLearning</v>
      </c>
      <c r="D67" s="21">
        <f>IFERROR(__xludf.DUMMYFUNCTION("""COMPUTED_VALUE"""),"5798")</f>
        <v>5798</v>
      </c>
      <c r="E67" s="21" t="str">
        <f>IFERROR(__xludf.DUMMYFUNCTION("""COMPUTED_VALUE"""),"(256,256,3)")</f>
        <v>(256,256,3)</v>
      </c>
      <c r="F67" s="21" t="str">
        <f>IFERROR(__xludf.DUMMYFUNCTION("""COMPUTED_VALUE"""),"FC")</f>
        <v>FC</v>
      </c>
      <c r="G67" s="21">
        <f>IFERROR(__xludf.DUMMYFUNCTION("""COMPUTED_VALUE"""),"0.3")</f>
        <v>0.3</v>
      </c>
      <c r="H67" s="21" t="str">
        <f>IFERROR(__xludf.DUMMYFUNCTION("""COMPUTED_VALUE"""),"Adam")</f>
        <v>Adam</v>
      </c>
      <c r="I67" s="21">
        <f>IFERROR(__xludf.DUMMYFUNCTION("""COMPUTED_VALUE"""),"0.0001")</f>
        <v>0.0001</v>
      </c>
      <c r="J67" s="21">
        <f>IFERROR(__xludf.DUMMYFUNCTION("""COMPUTED_VALUE"""),"15")</f>
        <v>15</v>
      </c>
      <c r="K67" s="21">
        <f>IFERROR(__xludf.DUMMYFUNCTION("""COMPUTED_VALUE"""),"24")</f>
        <v>24</v>
      </c>
      <c r="L67" s="21">
        <f>IFERROR(__xludf.DUMMYFUNCTION("""COMPUTED_VALUE"""),"66.55172414")</f>
        <v>66.55172414</v>
      </c>
      <c r="M67" s="21">
        <f>IFERROR(__xludf.DUMMYFUNCTION("""COMPUTED_VALUE"""),"1")</f>
        <v>1</v>
      </c>
      <c r="N67" s="9" t="s">
        <v>79</v>
      </c>
      <c r="O67" s="26">
        <f t="shared" si="2"/>
        <v>0.84</v>
      </c>
      <c r="P67" s="21">
        <f>IFERROR(__xludf.DUMMYFUNCTION("""COMPUTED_VALUE"""),"0.69")</f>
        <v>0.69</v>
      </c>
      <c r="Q67" s="21">
        <f>IFERROR(__xludf.DUMMYFUNCTION("""COMPUTED_VALUE"""),"0.76")</f>
        <v>0.76</v>
      </c>
      <c r="R67" s="21">
        <f>IFERROR(__xludf.DUMMYFUNCTION("""COMPUTED_VALUE"""),"207")</f>
        <v>207</v>
      </c>
      <c r="S67" s="9" t="s">
        <v>21</v>
      </c>
    </row>
    <row r="68">
      <c r="A68" s="13">
        <v>17.0</v>
      </c>
      <c r="B68" s="9" t="s">
        <v>80</v>
      </c>
      <c r="C68" s="21" t="str">
        <f t="shared" si="3"/>
        <v>VGG16TransferLearning</v>
      </c>
      <c r="D68" s="21">
        <f>IFERROR(__xludf.DUMMYFUNCTION("""COMPUTED_VALUE"""),"5798")</f>
        <v>5798</v>
      </c>
      <c r="E68" s="21" t="str">
        <f>IFERROR(__xludf.DUMMYFUNCTION("""COMPUTED_VALUE"""),"(256,256,3)")</f>
        <v>(256,256,3)</v>
      </c>
      <c r="F68" s="21" t="str">
        <f>IFERROR(__xludf.DUMMYFUNCTION("""COMPUTED_VALUE"""),"FC1024")</f>
        <v>FC1024</v>
      </c>
      <c r="G68" s="21">
        <f>IFERROR(__xludf.DUMMYFUNCTION("""COMPUTED_VALUE"""),"0.25")</f>
        <v>0.25</v>
      </c>
      <c r="H68" s="21" t="str">
        <f>IFERROR(__xludf.DUMMYFUNCTION("""COMPUTED_VALUE"""),"Adam")</f>
        <v>Adam</v>
      </c>
      <c r="I68" s="21">
        <f>IFERROR(__xludf.DUMMYFUNCTION("""COMPUTED_VALUE"""),"0.0001")</f>
        <v>0.0001</v>
      </c>
      <c r="J68" s="21">
        <f>IFERROR(__xludf.DUMMYFUNCTION("""COMPUTED_VALUE"""),"15")</f>
        <v>15</v>
      </c>
      <c r="K68" s="21">
        <f>IFERROR(__xludf.DUMMYFUNCTION("""COMPUTED_VALUE"""),"24")</f>
        <v>24</v>
      </c>
      <c r="L68" s="21">
        <f>IFERROR(__xludf.DUMMYFUNCTION("""COMPUTED_VALUE"""),"68.10344828")</f>
        <v>68.10344828</v>
      </c>
      <c r="M68" s="21">
        <f>IFERROR(__xludf.DUMMYFUNCTION("""COMPUTED_VALUE"""),"1")</f>
        <v>1</v>
      </c>
      <c r="N68" s="9" t="s">
        <v>81</v>
      </c>
      <c r="O68" s="26">
        <f t="shared" si="2"/>
        <v>0.51</v>
      </c>
      <c r="P68" s="21">
        <f>IFERROR(__xludf.DUMMYFUNCTION("""COMPUTED_VALUE"""),"0.66")</f>
        <v>0.66</v>
      </c>
      <c r="Q68" s="21">
        <f>IFERROR(__xludf.DUMMYFUNCTION("""COMPUTED_VALUE"""),"0.57")</f>
        <v>0.57</v>
      </c>
      <c r="R68" s="21">
        <f>IFERROR(__xludf.DUMMYFUNCTION("""COMPUTED_VALUE"""),"177")</f>
        <v>177</v>
      </c>
      <c r="S68" s="9" t="s">
        <v>29</v>
      </c>
    </row>
    <row r="69">
      <c r="A69" s="13">
        <v>17.0</v>
      </c>
      <c r="B69" s="9" t="s">
        <v>80</v>
      </c>
      <c r="C69" s="21" t="str">
        <f t="shared" si="3"/>
        <v>VGG16TransferLearning</v>
      </c>
      <c r="D69" s="21">
        <f>IFERROR(__xludf.DUMMYFUNCTION("""COMPUTED_VALUE"""),"5798")</f>
        <v>5798</v>
      </c>
      <c r="E69" s="21" t="str">
        <f>IFERROR(__xludf.DUMMYFUNCTION("""COMPUTED_VALUE"""),"(256,256,3)")</f>
        <v>(256,256,3)</v>
      </c>
      <c r="F69" s="21" t="str">
        <f>IFERROR(__xludf.DUMMYFUNCTION("""COMPUTED_VALUE"""),"FC1024")</f>
        <v>FC1024</v>
      </c>
      <c r="G69" s="21">
        <f>IFERROR(__xludf.DUMMYFUNCTION("""COMPUTED_VALUE"""),"0.25")</f>
        <v>0.25</v>
      </c>
      <c r="H69" s="21" t="str">
        <f>IFERROR(__xludf.DUMMYFUNCTION("""COMPUTED_VALUE"""),"Adam")</f>
        <v>Adam</v>
      </c>
      <c r="I69" s="21">
        <f>IFERROR(__xludf.DUMMYFUNCTION("""COMPUTED_VALUE"""),"0.0001")</f>
        <v>0.0001</v>
      </c>
      <c r="J69" s="21">
        <f>IFERROR(__xludf.DUMMYFUNCTION("""COMPUTED_VALUE"""),"15")</f>
        <v>15</v>
      </c>
      <c r="K69" s="21">
        <f>IFERROR(__xludf.DUMMYFUNCTION("""COMPUTED_VALUE"""),"24")</f>
        <v>24</v>
      </c>
      <c r="L69" s="21">
        <f>IFERROR(__xludf.DUMMYFUNCTION("""COMPUTED_VALUE"""),"68.10344828")</f>
        <v>68.10344828</v>
      </c>
      <c r="M69" s="21">
        <f>IFERROR(__xludf.DUMMYFUNCTION("""COMPUTED_VALUE"""),"1")</f>
        <v>1</v>
      </c>
      <c r="N69" s="9" t="s">
        <v>82</v>
      </c>
      <c r="O69" s="26">
        <f t="shared" si="2"/>
        <v>0.75</v>
      </c>
      <c r="P69" s="21">
        <f>IFERROR(__xludf.DUMMYFUNCTION("""COMPUTED_VALUE"""),"0.66")</f>
        <v>0.66</v>
      </c>
      <c r="Q69" s="21">
        <f>IFERROR(__xludf.DUMMYFUNCTION("""COMPUTED_VALUE"""),"0.7")</f>
        <v>0.7</v>
      </c>
      <c r="R69" s="21">
        <f>IFERROR(__xludf.DUMMYFUNCTION("""COMPUTED_VALUE"""),"203")</f>
        <v>203</v>
      </c>
      <c r="S69" s="13" t="s">
        <v>32</v>
      </c>
    </row>
    <row r="70">
      <c r="A70" s="13">
        <v>17.0</v>
      </c>
      <c r="B70" s="9" t="s">
        <v>80</v>
      </c>
      <c r="C70" s="21" t="str">
        <f t="shared" si="3"/>
        <v>VGG16TransferLearning</v>
      </c>
      <c r="D70" s="21">
        <f>IFERROR(__xludf.DUMMYFUNCTION("""COMPUTED_VALUE"""),"5798")</f>
        <v>5798</v>
      </c>
      <c r="E70" s="21" t="str">
        <f>IFERROR(__xludf.DUMMYFUNCTION("""COMPUTED_VALUE"""),"(256,256,3)")</f>
        <v>(256,256,3)</v>
      </c>
      <c r="F70" s="21" t="str">
        <f>IFERROR(__xludf.DUMMYFUNCTION("""COMPUTED_VALUE"""),"FC1024")</f>
        <v>FC1024</v>
      </c>
      <c r="G70" s="21">
        <f>IFERROR(__xludf.DUMMYFUNCTION("""COMPUTED_VALUE"""),"0.25")</f>
        <v>0.25</v>
      </c>
      <c r="H70" s="21" t="str">
        <f>IFERROR(__xludf.DUMMYFUNCTION("""COMPUTED_VALUE"""),"Adam")</f>
        <v>Adam</v>
      </c>
      <c r="I70" s="21">
        <f>IFERROR(__xludf.DUMMYFUNCTION("""COMPUTED_VALUE"""),"0.0001")</f>
        <v>0.0001</v>
      </c>
      <c r="J70" s="21">
        <f>IFERROR(__xludf.DUMMYFUNCTION("""COMPUTED_VALUE"""),"15")</f>
        <v>15</v>
      </c>
      <c r="K70" s="21">
        <f>IFERROR(__xludf.DUMMYFUNCTION("""COMPUTED_VALUE"""),"24")</f>
        <v>24</v>
      </c>
      <c r="L70" s="21">
        <f>IFERROR(__xludf.DUMMYFUNCTION("""COMPUTED_VALUE"""),"68.10344828")</f>
        <v>68.10344828</v>
      </c>
      <c r="M70" s="21">
        <f>IFERROR(__xludf.DUMMYFUNCTION("""COMPUTED_VALUE"""),"1")</f>
        <v>1</v>
      </c>
      <c r="N70" s="9" t="s">
        <v>83</v>
      </c>
      <c r="O70" s="26">
        <f t="shared" si="2"/>
        <v>0.84</v>
      </c>
      <c r="P70" s="21">
        <f>IFERROR(__xludf.DUMMYFUNCTION("""COMPUTED_VALUE"""),"0.72")</f>
        <v>0.72</v>
      </c>
      <c r="Q70" s="21">
        <f>IFERROR(__xludf.DUMMYFUNCTION("""COMPUTED_VALUE"""),"0.78")</f>
        <v>0.78</v>
      </c>
      <c r="R70" s="21">
        <f>IFERROR(__xludf.DUMMYFUNCTION("""COMPUTED_VALUE"""),"200")</f>
        <v>200</v>
      </c>
      <c r="S70" s="9" t="s">
        <v>21</v>
      </c>
    </row>
    <row r="71">
      <c r="A71" s="13">
        <v>16.0</v>
      </c>
      <c r="B71" s="9" t="s">
        <v>84</v>
      </c>
      <c r="C71" s="21" t="str">
        <f t="shared" si="3"/>
        <v>VGG16TransferLearning</v>
      </c>
      <c r="D71" s="21">
        <f>IFERROR(__xludf.DUMMYFUNCTION("""COMPUTED_VALUE"""),"1450")</f>
        <v>1450</v>
      </c>
      <c r="E71" s="21" t="str">
        <f>IFERROR(__xludf.DUMMYFUNCTION("""COMPUTED_VALUE"""),"(256,256,3)")</f>
        <v>(256,256,3)</v>
      </c>
      <c r="F71" s="21" t="str">
        <f>IFERROR(__xludf.DUMMYFUNCTION("""COMPUTED_VALUE"""),"FC1024")</f>
        <v>FC1024</v>
      </c>
      <c r="G71" s="21">
        <f>IFERROR(__xludf.DUMMYFUNCTION("""COMPUTED_VALUE"""),"0.4")</f>
        <v>0.4</v>
      </c>
      <c r="H71" s="21" t="str">
        <f>IFERROR(__xludf.DUMMYFUNCTION("""COMPUTED_VALUE"""),"Adam")</f>
        <v>Adam</v>
      </c>
      <c r="I71" s="21">
        <f>IFERROR(__xludf.DUMMYFUNCTION("""COMPUTED_VALUE"""),"0.0001")</f>
        <v>0.0001</v>
      </c>
      <c r="J71" s="21">
        <f>IFERROR(__xludf.DUMMYFUNCTION("""COMPUTED_VALUE"""),"15")</f>
        <v>15</v>
      </c>
      <c r="K71" s="21">
        <f>IFERROR(__xludf.DUMMYFUNCTION("""COMPUTED_VALUE"""),"24")</f>
        <v>24</v>
      </c>
      <c r="L71" s="21">
        <f>IFERROR(__xludf.DUMMYFUNCTION("""COMPUTED_VALUE"""),"65.51724138")</f>
        <v>65.51724138</v>
      </c>
      <c r="M71" s="21">
        <f>IFERROR(__xludf.DUMMYFUNCTION("""COMPUTED_VALUE"""),"1")</f>
        <v>1</v>
      </c>
      <c r="N71" s="9" t="s">
        <v>85</v>
      </c>
      <c r="O71" s="26">
        <f t="shared" si="2"/>
        <v>0.42</v>
      </c>
      <c r="P71" s="21">
        <f>IFERROR(__xludf.DUMMYFUNCTION("""COMPUTED_VALUE"""),"0.67")</f>
        <v>0.67</v>
      </c>
      <c r="Q71" s="21">
        <f>IFERROR(__xludf.DUMMYFUNCTION("""COMPUTED_VALUE"""),"0.52")</f>
        <v>0.52</v>
      </c>
      <c r="R71" s="21">
        <f>IFERROR(__xludf.DUMMYFUNCTION("""COMPUTED_VALUE"""),"36")</f>
        <v>36</v>
      </c>
      <c r="S71" s="9" t="s">
        <v>29</v>
      </c>
    </row>
    <row r="72">
      <c r="A72" s="13">
        <v>16.0</v>
      </c>
      <c r="B72" s="9" t="s">
        <v>84</v>
      </c>
      <c r="C72" s="21" t="str">
        <f t="shared" si="3"/>
        <v>VGG16TransferLearning</v>
      </c>
      <c r="D72" s="21">
        <f>IFERROR(__xludf.DUMMYFUNCTION("""COMPUTED_VALUE"""),"1450")</f>
        <v>1450</v>
      </c>
      <c r="E72" s="21" t="str">
        <f>IFERROR(__xludf.DUMMYFUNCTION("""COMPUTED_VALUE"""),"(256,256,3)")</f>
        <v>(256,256,3)</v>
      </c>
      <c r="F72" s="21" t="str">
        <f>IFERROR(__xludf.DUMMYFUNCTION("""COMPUTED_VALUE"""),"FC1024")</f>
        <v>FC1024</v>
      </c>
      <c r="G72" s="21">
        <f>IFERROR(__xludf.DUMMYFUNCTION("""COMPUTED_VALUE"""),"0.4")</f>
        <v>0.4</v>
      </c>
      <c r="H72" s="21" t="str">
        <f>IFERROR(__xludf.DUMMYFUNCTION("""COMPUTED_VALUE"""),"Adam")</f>
        <v>Adam</v>
      </c>
      <c r="I72" s="21">
        <f>IFERROR(__xludf.DUMMYFUNCTION("""COMPUTED_VALUE"""),"0.0001")</f>
        <v>0.0001</v>
      </c>
      <c r="J72" s="21">
        <f>IFERROR(__xludf.DUMMYFUNCTION("""COMPUTED_VALUE"""),"15")</f>
        <v>15</v>
      </c>
      <c r="K72" s="21">
        <f>IFERROR(__xludf.DUMMYFUNCTION("""COMPUTED_VALUE"""),"24")</f>
        <v>24</v>
      </c>
      <c r="L72" s="21">
        <f>IFERROR(__xludf.DUMMYFUNCTION("""COMPUTED_VALUE"""),"65.51724138")</f>
        <v>65.51724138</v>
      </c>
      <c r="M72" s="21">
        <f>IFERROR(__xludf.DUMMYFUNCTION("""COMPUTED_VALUE"""),"1")</f>
        <v>1</v>
      </c>
      <c r="N72" s="9" t="s">
        <v>86</v>
      </c>
      <c r="O72" s="26">
        <f t="shared" si="2"/>
        <v>0.73</v>
      </c>
      <c r="P72" s="21">
        <f>IFERROR(__xludf.DUMMYFUNCTION("""COMPUTED_VALUE"""),"0.66")</f>
        <v>0.66</v>
      </c>
      <c r="Q72" s="21">
        <f>IFERROR(__xludf.DUMMYFUNCTION("""COMPUTED_VALUE"""),"0.69")</f>
        <v>0.69</v>
      </c>
      <c r="R72" s="21">
        <f>IFERROR(__xludf.DUMMYFUNCTION("""COMPUTED_VALUE"""),"50")</f>
        <v>50</v>
      </c>
      <c r="S72" s="13" t="s">
        <v>32</v>
      </c>
    </row>
    <row r="73">
      <c r="A73" s="13">
        <v>16.0</v>
      </c>
      <c r="B73" s="9" t="s">
        <v>84</v>
      </c>
      <c r="C73" s="21" t="str">
        <f t="shared" si="3"/>
        <v>VGG16TransferLearning</v>
      </c>
      <c r="D73" s="21">
        <f>IFERROR(__xludf.DUMMYFUNCTION("""COMPUTED_VALUE"""),"1450")</f>
        <v>1450</v>
      </c>
      <c r="E73" s="21" t="str">
        <f>IFERROR(__xludf.DUMMYFUNCTION("""COMPUTED_VALUE"""),"(256,256,3)")</f>
        <v>(256,256,3)</v>
      </c>
      <c r="F73" s="21" t="str">
        <f>IFERROR(__xludf.DUMMYFUNCTION("""COMPUTED_VALUE"""),"FC1024")</f>
        <v>FC1024</v>
      </c>
      <c r="G73" s="21">
        <f>IFERROR(__xludf.DUMMYFUNCTION("""COMPUTED_VALUE"""),"0.4")</f>
        <v>0.4</v>
      </c>
      <c r="H73" s="21" t="str">
        <f>IFERROR(__xludf.DUMMYFUNCTION("""COMPUTED_VALUE"""),"Adam")</f>
        <v>Adam</v>
      </c>
      <c r="I73" s="21">
        <f>IFERROR(__xludf.DUMMYFUNCTION("""COMPUTED_VALUE"""),"0.0001")</f>
        <v>0.0001</v>
      </c>
      <c r="J73" s="21">
        <f>IFERROR(__xludf.DUMMYFUNCTION("""COMPUTED_VALUE"""),"15")</f>
        <v>15</v>
      </c>
      <c r="K73" s="21">
        <f>IFERROR(__xludf.DUMMYFUNCTION("""COMPUTED_VALUE"""),"24")</f>
        <v>24</v>
      </c>
      <c r="L73" s="21">
        <f>IFERROR(__xludf.DUMMYFUNCTION("""COMPUTED_VALUE"""),"65.51724138")</f>
        <v>65.51724138</v>
      </c>
      <c r="M73" s="21">
        <f>IFERROR(__xludf.DUMMYFUNCTION("""COMPUTED_VALUE"""),"1")</f>
        <v>1</v>
      </c>
      <c r="N73" s="9" t="s">
        <v>87</v>
      </c>
      <c r="O73" s="26">
        <f t="shared" si="2"/>
        <v>0.88</v>
      </c>
      <c r="P73" s="21">
        <f>IFERROR(__xludf.DUMMYFUNCTION("""COMPUTED_VALUE"""),"0.64")</f>
        <v>0.64</v>
      </c>
      <c r="Q73" s="21">
        <f>IFERROR(__xludf.DUMMYFUNCTION("""COMPUTED_VALUE"""),"0.75")</f>
        <v>0.75</v>
      </c>
      <c r="R73" s="21">
        <f>IFERROR(__xludf.DUMMYFUNCTION("""COMPUTED_VALUE"""),"59")</f>
        <v>59</v>
      </c>
      <c r="S73" s="9" t="s">
        <v>21</v>
      </c>
    </row>
    <row r="74">
      <c r="A74" s="13">
        <v>15.0</v>
      </c>
      <c r="B74" s="9" t="s">
        <v>88</v>
      </c>
      <c r="C74" s="21" t="str">
        <f t="shared" si="3"/>
        <v>VGG16TransferLearning</v>
      </c>
      <c r="D74" s="21">
        <f>IFERROR(__xludf.DUMMYFUNCTION("""COMPUTED_VALUE"""),"1450")</f>
        <v>1450</v>
      </c>
      <c r="E74" s="21" t="str">
        <f>IFERROR(__xludf.DUMMYFUNCTION("""COMPUTED_VALUE"""),"(256,256,3)")</f>
        <v>(256,256,3)</v>
      </c>
      <c r="F74" s="21" t="str">
        <f>IFERROR(__xludf.DUMMYFUNCTION("""COMPUTED_VALUE"""),"FC")</f>
        <v>FC</v>
      </c>
      <c r="G74" s="21">
        <f>IFERROR(__xludf.DUMMYFUNCTION("""COMPUTED_VALUE"""),"0.4")</f>
        <v>0.4</v>
      </c>
      <c r="H74" s="21" t="str">
        <f>IFERROR(__xludf.DUMMYFUNCTION("""COMPUTED_VALUE"""),"Adam")</f>
        <v>Adam</v>
      </c>
      <c r="I74" s="21">
        <f>IFERROR(__xludf.DUMMYFUNCTION("""COMPUTED_VALUE"""),"0.0001")</f>
        <v>0.0001</v>
      </c>
      <c r="J74" s="21">
        <f>IFERROR(__xludf.DUMMYFUNCTION("""COMPUTED_VALUE"""),"15")</f>
        <v>15</v>
      </c>
      <c r="K74" s="21">
        <f>IFERROR(__xludf.DUMMYFUNCTION("""COMPUTED_VALUE"""),"24")</f>
        <v>24</v>
      </c>
      <c r="L74" s="21">
        <f>IFERROR(__xludf.DUMMYFUNCTION("""COMPUTED_VALUE"""),"67.5862069")</f>
        <v>67.5862069</v>
      </c>
      <c r="M74" s="21">
        <f>IFERROR(__xludf.DUMMYFUNCTION("""COMPUTED_VALUE"""),"1")</f>
        <v>1</v>
      </c>
      <c r="N74" s="9" t="s">
        <v>89</v>
      </c>
      <c r="O74" s="26">
        <f t="shared" si="2"/>
        <v>0.63</v>
      </c>
      <c r="P74" s="21">
        <f>IFERROR(__xludf.DUMMYFUNCTION("""COMPUTED_VALUE"""),"0.62")</f>
        <v>0.62</v>
      </c>
      <c r="Q74" s="21">
        <f>IFERROR(__xludf.DUMMYFUNCTION("""COMPUTED_VALUE"""),"0.63")</f>
        <v>0.63</v>
      </c>
      <c r="R74" s="21">
        <f>IFERROR(__xludf.DUMMYFUNCTION("""COMPUTED_VALUE"""),"58")</f>
        <v>58</v>
      </c>
      <c r="S74" s="9" t="s">
        <v>29</v>
      </c>
    </row>
    <row r="75">
      <c r="A75" s="13">
        <v>15.0</v>
      </c>
      <c r="B75" s="9" t="s">
        <v>88</v>
      </c>
      <c r="C75" s="21" t="str">
        <f t="shared" si="3"/>
        <v>VGG16TransferLearning</v>
      </c>
      <c r="D75" s="21">
        <f>IFERROR(__xludf.DUMMYFUNCTION("""COMPUTED_VALUE"""),"1450")</f>
        <v>1450</v>
      </c>
      <c r="E75" s="21" t="str">
        <f>IFERROR(__xludf.DUMMYFUNCTION("""COMPUTED_VALUE"""),"(256,256,3)")</f>
        <v>(256,256,3)</v>
      </c>
      <c r="F75" s="21" t="str">
        <f>IFERROR(__xludf.DUMMYFUNCTION("""COMPUTED_VALUE"""),"FC")</f>
        <v>FC</v>
      </c>
      <c r="G75" s="21">
        <f>IFERROR(__xludf.DUMMYFUNCTION("""COMPUTED_VALUE"""),"0.4")</f>
        <v>0.4</v>
      </c>
      <c r="H75" s="21" t="str">
        <f>IFERROR(__xludf.DUMMYFUNCTION("""COMPUTED_VALUE"""),"Adam")</f>
        <v>Adam</v>
      </c>
      <c r="I75" s="21">
        <f>IFERROR(__xludf.DUMMYFUNCTION("""COMPUTED_VALUE"""),"0.0001")</f>
        <v>0.0001</v>
      </c>
      <c r="J75" s="21">
        <f>IFERROR(__xludf.DUMMYFUNCTION("""COMPUTED_VALUE"""),"15")</f>
        <v>15</v>
      </c>
      <c r="K75" s="21">
        <f>IFERROR(__xludf.DUMMYFUNCTION("""COMPUTED_VALUE"""),"24")</f>
        <v>24</v>
      </c>
      <c r="L75" s="21">
        <f>IFERROR(__xludf.DUMMYFUNCTION("""COMPUTED_VALUE"""),"67.5862069")</f>
        <v>67.5862069</v>
      </c>
      <c r="M75" s="21">
        <f>IFERROR(__xludf.DUMMYFUNCTION("""COMPUTED_VALUE"""),"1")</f>
        <v>1</v>
      </c>
      <c r="N75" s="9" t="s">
        <v>90</v>
      </c>
      <c r="O75" s="26">
        <f t="shared" si="2"/>
        <v>0.67</v>
      </c>
      <c r="P75" s="21">
        <f>IFERROR(__xludf.DUMMYFUNCTION("""COMPUTED_VALUE"""),"0.71")</f>
        <v>0.71</v>
      </c>
      <c r="Q75" s="21">
        <f>IFERROR(__xludf.DUMMYFUNCTION("""COMPUTED_VALUE"""),"0.69")</f>
        <v>0.69</v>
      </c>
      <c r="R75" s="21">
        <f>IFERROR(__xludf.DUMMYFUNCTION("""COMPUTED_VALUE"""),"42")</f>
        <v>42</v>
      </c>
      <c r="S75" s="13" t="s">
        <v>32</v>
      </c>
    </row>
    <row r="76">
      <c r="A76" s="13">
        <v>15.0</v>
      </c>
      <c r="B76" s="9" t="s">
        <v>88</v>
      </c>
      <c r="C76" s="21" t="str">
        <f t="shared" si="3"/>
        <v>VGG16TransferLearning</v>
      </c>
      <c r="D76" s="21">
        <f>IFERROR(__xludf.DUMMYFUNCTION("""COMPUTED_VALUE"""),"1450")</f>
        <v>1450</v>
      </c>
      <c r="E76" s="21" t="str">
        <f>IFERROR(__xludf.DUMMYFUNCTION("""COMPUTED_VALUE"""),"(256,256,3)")</f>
        <v>(256,256,3)</v>
      </c>
      <c r="F76" s="21" t="str">
        <f>IFERROR(__xludf.DUMMYFUNCTION("""COMPUTED_VALUE"""),"FC")</f>
        <v>FC</v>
      </c>
      <c r="G76" s="21">
        <f>IFERROR(__xludf.DUMMYFUNCTION("""COMPUTED_VALUE"""),"0.4")</f>
        <v>0.4</v>
      </c>
      <c r="H76" s="21" t="str">
        <f>IFERROR(__xludf.DUMMYFUNCTION("""COMPUTED_VALUE"""),"Adam")</f>
        <v>Adam</v>
      </c>
      <c r="I76" s="21">
        <f>IFERROR(__xludf.DUMMYFUNCTION("""COMPUTED_VALUE"""),"0.0001")</f>
        <v>0.0001</v>
      </c>
      <c r="J76" s="21">
        <f>IFERROR(__xludf.DUMMYFUNCTION("""COMPUTED_VALUE"""),"15")</f>
        <v>15</v>
      </c>
      <c r="K76" s="21">
        <f>IFERROR(__xludf.DUMMYFUNCTION("""COMPUTED_VALUE"""),"24")</f>
        <v>24</v>
      </c>
      <c r="L76" s="21">
        <f>IFERROR(__xludf.DUMMYFUNCTION("""COMPUTED_VALUE"""),"67.5862069")</f>
        <v>67.5862069</v>
      </c>
      <c r="M76" s="21">
        <f>IFERROR(__xludf.DUMMYFUNCTION("""COMPUTED_VALUE"""),"1")</f>
        <v>1</v>
      </c>
      <c r="N76" s="9" t="s">
        <v>91</v>
      </c>
      <c r="O76" s="26">
        <f t="shared" si="2"/>
        <v>0.74</v>
      </c>
      <c r="P76" s="21">
        <f>IFERROR(__xludf.DUMMYFUNCTION("""COMPUTED_VALUE"""),"0.71")</f>
        <v>0.71</v>
      </c>
      <c r="Q76" s="21">
        <f>IFERROR(__xludf.DUMMYFUNCTION("""COMPUTED_VALUE"""),"0.73")</f>
        <v>0.73</v>
      </c>
      <c r="R76" s="21">
        <f>IFERROR(__xludf.DUMMYFUNCTION("""COMPUTED_VALUE"""),"45")</f>
        <v>45</v>
      </c>
      <c r="S76" s="9" t="s">
        <v>21</v>
      </c>
    </row>
    <row r="77">
      <c r="A77" s="13">
        <v>14.0</v>
      </c>
      <c r="B77" s="9" t="s">
        <v>92</v>
      </c>
      <c r="C77" s="21" t="str">
        <f t="shared" si="3"/>
        <v>VGG16TransferLearning</v>
      </c>
      <c r="D77" s="21">
        <f>IFERROR(__xludf.DUMMYFUNCTION("""COMPUTED_VALUE"""),"2899")</f>
        <v>2899</v>
      </c>
      <c r="E77" s="21" t="str">
        <f>IFERROR(__xludf.DUMMYFUNCTION("""COMPUTED_VALUE"""),"(256,256,3)")</f>
        <v>(256,256,3)</v>
      </c>
      <c r="F77" s="21" t="str">
        <f>IFERROR(__xludf.DUMMYFUNCTION("""COMPUTED_VALUE"""),"FC")</f>
        <v>FC</v>
      </c>
      <c r="G77" s="21">
        <f>IFERROR(__xludf.DUMMYFUNCTION("""COMPUTED_VALUE"""),"0.4")</f>
        <v>0.4</v>
      </c>
      <c r="H77" s="21" t="str">
        <f>IFERROR(__xludf.DUMMYFUNCTION("""COMPUTED_VALUE"""),"Adam")</f>
        <v>Adam</v>
      </c>
      <c r="I77" s="21">
        <f>IFERROR(__xludf.DUMMYFUNCTION("""COMPUTED_VALUE"""),"0.0001")</f>
        <v>0.0001</v>
      </c>
      <c r="J77" s="21">
        <f>IFERROR(__xludf.DUMMYFUNCTION("""COMPUTED_VALUE"""),"20")</f>
        <v>20</v>
      </c>
      <c r="K77" s="21">
        <f>IFERROR(__xludf.DUMMYFUNCTION("""COMPUTED_VALUE"""),"200")</f>
        <v>200</v>
      </c>
      <c r="L77" s="21">
        <f>IFERROR(__xludf.DUMMYFUNCTION("""COMPUTED_VALUE"""),"54.48275862")</f>
        <v>54.48275862</v>
      </c>
      <c r="M77" s="21">
        <f>IFERROR(__xludf.DUMMYFUNCTION("""COMPUTED_VALUE"""),"1")</f>
        <v>1</v>
      </c>
      <c r="N77" s="9" t="s">
        <v>93</v>
      </c>
      <c r="O77" s="26">
        <f t="shared" si="2"/>
        <v>0.29</v>
      </c>
      <c r="P77" s="21">
        <f>IFERROR(__xludf.DUMMYFUNCTION("""COMPUTED_VALUE"""),"0.67")</f>
        <v>0.67</v>
      </c>
      <c r="Q77" s="21">
        <f>IFERROR(__xludf.DUMMYFUNCTION("""COMPUTED_VALUE"""),"0.4")</f>
        <v>0.4</v>
      </c>
      <c r="R77" s="21">
        <f>IFERROR(__xludf.DUMMYFUNCTION("""COMPUTED_VALUE"""),"49")</f>
        <v>49</v>
      </c>
      <c r="S77" s="9" t="s">
        <v>29</v>
      </c>
    </row>
    <row r="78">
      <c r="A78" s="13">
        <v>14.0</v>
      </c>
      <c r="B78" s="9" t="s">
        <v>92</v>
      </c>
      <c r="C78" s="21" t="str">
        <f t="shared" si="3"/>
        <v>VGG16TransferLearning</v>
      </c>
      <c r="D78" s="21">
        <f>IFERROR(__xludf.DUMMYFUNCTION("""COMPUTED_VALUE"""),"2899")</f>
        <v>2899</v>
      </c>
      <c r="E78" s="21" t="str">
        <f>IFERROR(__xludf.DUMMYFUNCTION("""COMPUTED_VALUE"""),"(256,256,3)")</f>
        <v>(256,256,3)</v>
      </c>
      <c r="F78" s="21" t="str">
        <f>IFERROR(__xludf.DUMMYFUNCTION("""COMPUTED_VALUE"""),"FC")</f>
        <v>FC</v>
      </c>
      <c r="G78" s="21">
        <f>IFERROR(__xludf.DUMMYFUNCTION("""COMPUTED_VALUE"""),"0.4")</f>
        <v>0.4</v>
      </c>
      <c r="H78" s="21" t="str">
        <f>IFERROR(__xludf.DUMMYFUNCTION("""COMPUTED_VALUE"""),"Adam")</f>
        <v>Adam</v>
      </c>
      <c r="I78" s="21">
        <f>IFERROR(__xludf.DUMMYFUNCTION("""COMPUTED_VALUE"""),"0.0001")</f>
        <v>0.0001</v>
      </c>
      <c r="J78" s="21">
        <f>IFERROR(__xludf.DUMMYFUNCTION("""COMPUTED_VALUE"""),"20")</f>
        <v>20</v>
      </c>
      <c r="K78" s="21">
        <f>IFERROR(__xludf.DUMMYFUNCTION("""COMPUTED_VALUE"""),"200")</f>
        <v>200</v>
      </c>
      <c r="L78" s="21">
        <f>IFERROR(__xludf.DUMMYFUNCTION("""COMPUTED_VALUE"""),"54.48275862")</f>
        <v>54.48275862</v>
      </c>
      <c r="M78" s="21">
        <f>IFERROR(__xludf.DUMMYFUNCTION("""COMPUTED_VALUE"""),"1")</f>
        <v>1</v>
      </c>
      <c r="N78" s="9" t="s">
        <v>94</v>
      </c>
      <c r="O78" s="26">
        <f t="shared" si="2"/>
        <v>0.8</v>
      </c>
      <c r="P78" s="21">
        <f>IFERROR(__xludf.DUMMYFUNCTION("""COMPUTED_VALUE"""),"0.47")</f>
        <v>0.47</v>
      </c>
      <c r="Q78" s="21">
        <f>IFERROR(__xludf.DUMMYFUNCTION("""COMPUTED_VALUE"""),"0.59")</f>
        <v>0.59</v>
      </c>
      <c r="R78" s="21">
        <f>IFERROR(__xludf.DUMMYFUNCTION("""COMPUTED_VALUE"""),"154")</f>
        <v>154</v>
      </c>
      <c r="S78" s="13" t="s">
        <v>32</v>
      </c>
    </row>
    <row r="79">
      <c r="A79" s="13">
        <v>14.0</v>
      </c>
      <c r="B79" s="9" t="s">
        <v>92</v>
      </c>
      <c r="C79" s="21" t="str">
        <f t="shared" si="3"/>
        <v>VGG16TransferLearning</v>
      </c>
      <c r="D79" s="21">
        <f>IFERROR(__xludf.DUMMYFUNCTION("""COMPUTED_VALUE"""),"2899")</f>
        <v>2899</v>
      </c>
      <c r="E79" s="21" t="str">
        <f>IFERROR(__xludf.DUMMYFUNCTION("""COMPUTED_VALUE"""),"(256,256,3)")</f>
        <v>(256,256,3)</v>
      </c>
      <c r="F79" s="21" t="str">
        <f>IFERROR(__xludf.DUMMYFUNCTION("""COMPUTED_VALUE"""),"FC")</f>
        <v>FC</v>
      </c>
      <c r="G79" s="21">
        <f>IFERROR(__xludf.DUMMYFUNCTION("""COMPUTED_VALUE"""),"0.4")</f>
        <v>0.4</v>
      </c>
      <c r="H79" s="21" t="str">
        <f>IFERROR(__xludf.DUMMYFUNCTION("""COMPUTED_VALUE"""),"Adam")</f>
        <v>Adam</v>
      </c>
      <c r="I79" s="21">
        <f>IFERROR(__xludf.DUMMYFUNCTION("""COMPUTED_VALUE"""),"0.0001")</f>
        <v>0.0001</v>
      </c>
      <c r="J79" s="21">
        <f>IFERROR(__xludf.DUMMYFUNCTION("""COMPUTED_VALUE"""),"20")</f>
        <v>20</v>
      </c>
      <c r="K79" s="21">
        <f>IFERROR(__xludf.DUMMYFUNCTION("""COMPUTED_VALUE"""),"200")</f>
        <v>200</v>
      </c>
      <c r="L79" s="21">
        <f>IFERROR(__xludf.DUMMYFUNCTION("""COMPUTED_VALUE"""),"54.48275862")</f>
        <v>54.48275862</v>
      </c>
      <c r="M79" s="21">
        <f>IFERROR(__xludf.DUMMYFUNCTION("""COMPUTED_VALUE"""),"1")</f>
        <v>1</v>
      </c>
      <c r="N79" s="9" t="s">
        <v>95</v>
      </c>
      <c r="O79" s="26">
        <f t="shared" si="2"/>
        <v>0.62</v>
      </c>
      <c r="P79" s="21">
        <f>IFERROR(__xludf.DUMMYFUNCTION("""COMPUTED_VALUE"""),"0.61")</f>
        <v>0.61</v>
      </c>
      <c r="Q79" s="21">
        <f>IFERROR(__xludf.DUMMYFUNCTION("""COMPUTED_VALUE"""),"0.62")</f>
        <v>0.62</v>
      </c>
      <c r="R79" s="21">
        <f>IFERROR(__xludf.DUMMYFUNCTION("""COMPUTED_VALUE"""),"87")</f>
        <v>87</v>
      </c>
      <c r="S79" s="9" t="s">
        <v>21</v>
      </c>
    </row>
    <row r="80">
      <c r="A80" s="13">
        <v>13.0</v>
      </c>
      <c r="B80" s="9" t="s">
        <v>96</v>
      </c>
      <c r="C80" s="21" t="str">
        <f t="shared" si="3"/>
        <v>XceptionTransferLearning</v>
      </c>
      <c r="D80" s="21">
        <f>IFERROR(__xludf.DUMMYFUNCTION("""COMPUTED_VALUE"""),"2899")</f>
        <v>2899</v>
      </c>
      <c r="E80" s="21" t="str">
        <f>IFERROR(__xludf.DUMMYFUNCTION("""COMPUTED_VALUE"""),"(256,256,3)")</f>
        <v>(256,256,3)</v>
      </c>
      <c r="F80" s="21" t="str">
        <f>IFERROR(__xludf.DUMMYFUNCTION("""COMPUTED_VALUE"""),"FC")</f>
        <v>FC</v>
      </c>
      <c r="G80" s="21">
        <f>IFERROR(__xludf.DUMMYFUNCTION("""COMPUTED_VALUE"""),"0.4")</f>
        <v>0.4</v>
      </c>
      <c r="H80" s="21" t="str">
        <f>IFERROR(__xludf.DUMMYFUNCTION("""COMPUTED_VALUE"""),"Adam")</f>
        <v>Adam</v>
      </c>
      <c r="I80" s="21">
        <f>IFERROR(__xludf.DUMMYFUNCTION("""COMPUTED_VALUE"""),"0.0001")</f>
        <v>0.0001</v>
      </c>
      <c r="J80" s="21">
        <f>IFERROR(__xludf.DUMMYFUNCTION("""COMPUTED_VALUE"""),"20")</f>
        <v>20</v>
      </c>
      <c r="K80" s="21">
        <f>IFERROR(__xludf.DUMMYFUNCTION("""COMPUTED_VALUE"""),"200")</f>
        <v>200</v>
      </c>
      <c r="L80" s="21">
        <f>IFERROR(__xludf.DUMMYFUNCTION("""COMPUTED_VALUE"""),"54.48275862")</f>
        <v>54.48275862</v>
      </c>
      <c r="M80" s="21">
        <f>IFERROR(__xludf.DUMMYFUNCTION("""COMPUTED_VALUE"""),"1")</f>
        <v>1</v>
      </c>
      <c r="N80" s="9" t="s">
        <v>93</v>
      </c>
      <c r="O80" s="26">
        <f t="shared" si="2"/>
        <v>0.29</v>
      </c>
      <c r="P80" s="21">
        <f>IFERROR(__xludf.DUMMYFUNCTION("""COMPUTED_VALUE"""),"0.67")</f>
        <v>0.67</v>
      </c>
      <c r="Q80" s="21">
        <f>IFERROR(__xludf.DUMMYFUNCTION("""COMPUTED_VALUE"""),"0.4")</f>
        <v>0.4</v>
      </c>
      <c r="R80" s="21">
        <f>IFERROR(__xludf.DUMMYFUNCTION("""COMPUTED_VALUE"""),"49")</f>
        <v>49</v>
      </c>
      <c r="S80" s="9" t="s">
        <v>29</v>
      </c>
    </row>
    <row r="81">
      <c r="A81" s="13">
        <v>13.0</v>
      </c>
      <c r="B81" s="9" t="s">
        <v>96</v>
      </c>
      <c r="C81" s="21" t="str">
        <f t="shared" si="3"/>
        <v>XceptionTransferLearning</v>
      </c>
      <c r="D81" s="21">
        <f>IFERROR(__xludf.DUMMYFUNCTION("""COMPUTED_VALUE"""),"2899")</f>
        <v>2899</v>
      </c>
      <c r="E81" s="21" t="str">
        <f>IFERROR(__xludf.DUMMYFUNCTION("""COMPUTED_VALUE"""),"(256,256,3)")</f>
        <v>(256,256,3)</v>
      </c>
      <c r="F81" s="21" t="str">
        <f>IFERROR(__xludf.DUMMYFUNCTION("""COMPUTED_VALUE"""),"FC")</f>
        <v>FC</v>
      </c>
      <c r="G81" s="21">
        <f>IFERROR(__xludf.DUMMYFUNCTION("""COMPUTED_VALUE"""),"0.4")</f>
        <v>0.4</v>
      </c>
      <c r="H81" s="21" t="str">
        <f>IFERROR(__xludf.DUMMYFUNCTION("""COMPUTED_VALUE"""),"Adam")</f>
        <v>Adam</v>
      </c>
      <c r="I81" s="21">
        <f>IFERROR(__xludf.DUMMYFUNCTION("""COMPUTED_VALUE"""),"0.0001")</f>
        <v>0.0001</v>
      </c>
      <c r="J81" s="21">
        <f>IFERROR(__xludf.DUMMYFUNCTION("""COMPUTED_VALUE"""),"20")</f>
        <v>20</v>
      </c>
      <c r="K81" s="21">
        <f>IFERROR(__xludf.DUMMYFUNCTION("""COMPUTED_VALUE"""),"200")</f>
        <v>200</v>
      </c>
      <c r="L81" s="21">
        <f>IFERROR(__xludf.DUMMYFUNCTION("""COMPUTED_VALUE"""),"54.48275862")</f>
        <v>54.48275862</v>
      </c>
      <c r="M81" s="21">
        <f>IFERROR(__xludf.DUMMYFUNCTION("""COMPUTED_VALUE"""),"1")</f>
        <v>1</v>
      </c>
      <c r="N81" s="9" t="s">
        <v>94</v>
      </c>
      <c r="O81" s="26">
        <f t="shared" si="2"/>
        <v>0.8</v>
      </c>
      <c r="P81" s="21">
        <f>IFERROR(__xludf.DUMMYFUNCTION("""COMPUTED_VALUE"""),"0.47")</f>
        <v>0.47</v>
      </c>
      <c r="Q81" s="21">
        <f>IFERROR(__xludf.DUMMYFUNCTION("""COMPUTED_VALUE"""),"0.59")</f>
        <v>0.59</v>
      </c>
      <c r="R81" s="21">
        <f>IFERROR(__xludf.DUMMYFUNCTION("""COMPUTED_VALUE"""),"154")</f>
        <v>154</v>
      </c>
      <c r="S81" s="13" t="s">
        <v>32</v>
      </c>
    </row>
    <row r="82">
      <c r="A82" s="13">
        <v>13.0</v>
      </c>
      <c r="B82" s="9" t="s">
        <v>96</v>
      </c>
      <c r="C82" s="21" t="str">
        <f t="shared" si="3"/>
        <v>XceptionTransferLearning</v>
      </c>
      <c r="D82" s="21">
        <f>IFERROR(__xludf.DUMMYFUNCTION("""COMPUTED_VALUE"""),"2899")</f>
        <v>2899</v>
      </c>
      <c r="E82" s="21" t="str">
        <f>IFERROR(__xludf.DUMMYFUNCTION("""COMPUTED_VALUE"""),"(256,256,3)")</f>
        <v>(256,256,3)</v>
      </c>
      <c r="F82" s="21" t="str">
        <f>IFERROR(__xludf.DUMMYFUNCTION("""COMPUTED_VALUE"""),"FC")</f>
        <v>FC</v>
      </c>
      <c r="G82" s="21">
        <f>IFERROR(__xludf.DUMMYFUNCTION("""COMPUTED_VALUE"""),"0.4")</f>
        <v>0.4</v>
      </c>
      <c r="H82" s="21" t="str">
        <f>IFERROR(__xludf.DUMMYFUNCTION("""COMPUTED_VALUE"""),"Adam")</f>
        <v>Adam</v>
      </c>
      <c r="I82" s="21">
        <f>IFERROR(__xludf.DUMMYFUNCTION("""COMPUTED_VALUE"""),"0.0001")</f>
        <v>0.0001</v>
      </c>
      <c r="J82" s="21">
        <f>IFERROR(__xludf.DUMMYFUNCTION("""COMPUTED_VALUE"""),"20")</f>
        <v>20</v>
      </c>
      <c r="K82" s="21">
        <f>IFERROR(__xludf.DUMMYFUNCTION("""COMPUTED_VALUE"""),"200")</f>
        <v>200</v>
      </c>
      <c r="L82" s="21">
        <f>IFERROR(__xludf.DUMMYFUNCTION("""COMPUTED_VALUE"""),"54.48275862")</f>
        <v>54.48275862</v>
      </c>
      <c r="M82" s="21">
        <f>IFERROR(__xludf.DUMMYFUNCTION("""COMPUTED_VALUE"""),"1")</f>
        <v>1</v>
      </c>
      <c r="N82" s="9" t="s">
        <v>95</v>
      </c>
      <c r="O82" s="26">
        <f t="shared" si="2"/>
        <v>0.62</v>
      </c>
      <c r="P82" s="21">
        <f>IFERROR(__xludf.DUMMYFUNCTION("""COMPUTED_VALUE"""),"0.61")</f>
        <v>0.61</v>
      </c>
      <c r="Q82" s="21">
        <f>IFERROR(__xludf.DUMMYFUNCTION("""COMPUTED_VALUE"""),"0.62")</f>
        <v>0.62</v>
      </c>
      <c r="R82" s="21">
        <f>IFERROR(__xludf.DUMMYFUNCTION("""COMPUTED_VALUE"""),"87")</f>
        <v>87</v>
      </c>
      <c r="S82" s="9" t="s">
        <v>21</v>
      </c>
    </row>
    <row r="83">
      <c r="A83" s="13">
        <v>12.0</v>
      </c>
      <c r="B83" s="9" t="s">
        <v>97</v>
      </c>
      <c r="C83" s="21" t="str">
        <f t="shared" si="3"/>
        <v>XceptionTransferLearning</v>
      </c>
      <c r="D83" s="21">
        <f>IFERROR(__xludf.DUMMYFUNCTION("""COMPUTED_VALUE"""),"5798")</f>
        <v>5798</v>
      </c>
      <c r="E83" s="21" t="str">
        <f>IFERROR(__xludf.DUMMYFUNCTION("""COMPUTED_VALUE"""),"(256,256,3)")</f>
        <v>(256,256,3)</v>
      </c>
      <c r="F83" s="21" t="str">
        <f>IFERROR(__xludf.DUMMYFUNCTION("""COMPUTED_VALUE"""),"FC1024")</f>
        <v>FC1024</v>
      </c>
      <c r="G83" s="21">
        <f>IFERROR(__xludf.DUMMYFUNCTION("""COMPUTED_VALUE"""),"0.25")</f>
        <v>0.25</v>
      </c>
      <c r="H83" s="21" t="str">
        <f>IFERROR(__xludf.DUMMYFUNCTION("""COMPUTED_VALUE"""),"Adam")</f>
        <v>Adam</v>
      </c>
      <c r="I83" s="21">
        <f>IFERROR(__xludf.DUMMYFUNCTION("""COMPUTED_VALUE"""),"0.0001")</f>
        <v>0.0001</v>
      </c>
      <c r="J83" s="21">
        <f>IFERROR(__xludf.DUMMYFUNCTION("""COMPUTED_VALUE"""),"20")</f>
        <v>20</v>
      </c>
      <c r="K83" s="21">
        <f>IFERROR(__xludf.DUMMYFUNCTION("""COMPUTED_VALUE"""),"24")</f>
        <v>24</v>
      </c>
      <c r="L83" s="21">
        <f>IFERROR(__xludf.DUMMYFUNCTION("""COMPUTED_VALUE"""),"53.10344828")</f>
        <v>53.10344828</v>
      </c>
      <c r="M83" s="21">
        <f>IFERROR(__xludf.DUMMYFUNCTION("""COMPUTED_VALUE"""),"1")</f>
        <v>1</v>
      </c>
      <c r="N83" s="9" t="s">
        <v>98</v>
      </c>
      <c r="O83" s="26">
        <f t="shared" si="2"/>
        <v>0.51</v>
      </c>
      <c r="P83" s="21">
        <f>IFERROR(__xludf.DUMMYFUNCTION("""COMPUTED_VALUE"""),"0.46")</f>
        <v>0.46</v>
      </c>
      <c r="Q83" s="21">
        <f>IFERROR(__xludf.DUMMYFUNCTION("""COMPUTED_VALUE"""),"0.48")</f>
        <v>0.48</v>
      </c>
      <c r="R83" s="21">
        <f>IFERROR(__xludf.DUMMYFUNCTION("""COMPUTED_VALUE"""),"259")</f>
        <v>259</v>
      </c>
      <c r="S83" s="9" t="s">
        <v>29</v>
      </c>
    </row>
    <row r="84">
      <c r="A84" s="13">
        <v>12.0</v>
      </c>
      <c r="B84" s="9" t="s">
        <v>97</v>
      </c>
      <c r="C84" s="21" t="str">
        <f t="shared" si="3"/>
        <v>XceptionTransferLearning</v>
      </c>
      <c r="D84" s="21">
        <f>IFERROR(__xludf.DUMMYFUNCTION("""COMPUTED_VALUE"""),"5798")</f>
        <v>5798</v>
      </c>
      <c r="E84" s="21" t="str">
        <f>IFERROR(__xludf.DUMMYFUNCTION("""COMPUTED_VALUE"""),"(256,256,3)")</f>
        <v>(256,256,3)</v>
      </c>
      <c r="F84" s="21" t="str">
        <f>IFERROR(__xludf.DUMMYFUNCTION("""COMPUTED_VALUE"""),"FC1024")</f>
        <v>FC1024</v>
      </c>
      <c r="G84" s="21">
        <f>IFERROR(__xludf.DUMMYFUNCTION("""COMPUTED_VALUE"""),"0.25")</f>
        <v>0.25</v>
      </c>
      <c r="H84" s="21" t="str">
        <f>IFERROR(__xludf.DUMMYFUNCTION("""COMPUTED_VALUE"""),"Adam")</f>
        <v>Adam</v>
      </c>
      <c r="I84" s="21">
        <f>IFERROR(__xludf.DUMMYFUNCTION("""COMPUTED_VALUE"""),"0.0001")</f>
        <v>0.0001</v>
      </c>
      <c r="J84" s="21">
        <f>IFERROR(__xludf.DUMMYFUNCTION("""COMPUTED_VALUE"""),"20")</f>
        <v>20</v>
      </c>
      <c r="K84" s="21">
        <f>IFERROR(__xludf.DUMMYFUNCTION("""COMPUTED_VALUE"""),"24")</f>
        <v>24</v>
      </c>
      <c r="L84" s="21">
        <f>IFERROR(__xludf.DUMMYFUNCTION("""COMPUTED_VALUE"""),"53.10344828")</f>
        <v>53.10344828</v>
      </c>
      <c r="M84" s="21">
        <f>IFERROR(__xludf.DUMMYFUNCTION("""COMPUTED_VALUE"""),"1")</f>
        <v>1</v>
      </c>
      <c r="N84" s="9" t="s">
        <v>99</v>
      </c>
      <c r="O84" s="26">
        <f t="shared" si="2"/>
        <v>0.45</v>
      </c>
      <c r="P84" s="21">
        <f>IFERROR(__xludf.DUMMYFUNCTION("""COMPUTED_VALUE"""),"0.56")</f>
        <v>0.56</v>
      </c>
      <c r="Q84" s="21">
        <f>IFERROR(__xludf.DUMMYFUNCTION("""COMPUTED_VALUE"""),"0.5")</f>
        <v>0.5</v>
      </c>
      <c r="R84" s="21">
        <f>IFERROR(__xludf.DUMMYFUNCTION("""COMPUTED_VALUE"""),"145")</f>
        <v>145</v>
      </c>
      <c r="S84" s="13" t="s">
        <v>32</v>
      </c>
    </row>
    <row r="85">
      <c r="A85" s="13">
        <v>12.0</v>
      </c>
      <c r="B85" s="9" t="s">
        <v>97</v>
      </c>
      <c r="C85" s="21" t="str">
        <f t="shared" si="3"/>
        <v>XceptionTransferLearning</v>
      </c>
      <c r="D85" s="21">
        <f>IFERROR(__xludf.DUMMYFUNCTION("""COMPUTED_VALUE"""),"5798")</f>
        <v>5798</v>
      </c>
      <c r="E85" s="21" t="str">
        <f>IFERROR(__xludf.DUMMYFUNCTION("""COMPUTED_VALUE"""),"(256,256,3)")</f>
        <v>(256,256,3)</v>
      </c>
      <c r="F85" s="21" t="str">
        <f>IFERROR(__xludf.DUMMYFUNCTION("""COMPUTED_VALUE"""),"FC1024")</f>
        <v>FC1024</v>
      </c>
      <c r="G85" s="21">
        <f>IFERROR(__xludf.DUMMYFUNCTION("""COMPUTED_VALUE"""),"0.25")</f>
        <v>0.25</v>
      </c>
      <c r="H85" s="21" t="str">
        <f>IFERROR(__xludf.DUMMYFUNCTION("""COMPUTED_VALUE"""),"Adam")</f>
        <v>Adam</v>
      </c>
      <c r="I85" s="21">
        <f>IFERROR(__xludf.DUMMYFUNCTION("""COMPUTED_VALUE"""),"0.0001")</f>
        <v>0.0001</v>
      </c>
      <c r="J85" s="21">
        <f>IFERROR(__xludf.DUMMYFUNCTION("""COMPUTED_VALUE"""),"20")</f>
        <v>20</v>
      </c>
      <c r="K85" s="21">
        <f>IFERROR(__xludf.DUMMYFUNCTION("""COMPUTED_VALUE"""),"24")</f>
        <v>24</v>
      </c>
      <c r="L85" s="21">
        <f>IFERROR(__xludf.DUMMYFUNCTION("""COMPUTED_VALUE"""),"53.10344828")</f>
        <v>53.10344828</v>
      </c>
      <c r="M85" s="21">
        <f>IFERROR(__xludf.DUMMYFUNCTION("""COMPUTED_VALUE"""),"1")</f>
        <v>1</v>
      </c>
      <c r="N85" s="9" t="s">
        <v>100</v>
      </c>
      <c r="O85" s="26">
        <f t="shared" si="2"/>
        <v>0.64</v>
      </c>
      <c r="P85" s="21">
        <f>IFERROR(__xludf.DUMMYFUNCTION("""COMPUTED_VALUE"""),"0.62")</f>
        <v>0.62</v>
      </c>
      <c r="Q85" s="21">
        <f>IFERROR(__xludf.DUMMYFUNCTION("""COMPUTED_VALUE"""),"0.63")</f>
        <v>0.63</v>
      </c>
      <c r="R85" s="21">
        <f>IFERROR(__xludf.DUMMYFUNCTION("""COMPUTED_VALUE"""),"176")</f>
        <v>176</v>
      </c>
      <c r="S85" s="9" t="s">
        <v>21</v>
      </c>
    </row>
    <row r="86">
      <c r="A86" s="13">
        <v>11.0</v>
      </c>
      <c r="B86" s="9" t="s">
        <v>101</v>
      </c>
      <c r="C86" s="21" t="str">
        <f t="shared" si="3"/>
        <v>XceptionTransferLearning</v>
      </c>
      <c r="D86" s="21">
        <f>IFERROR(__xludf.DUMMYFUNCTION("""COMPUTED_VALUE"""),"5798")</f>
        <v>5798</v>
      </c>
      <c r="E86" s="21" t="str">
        <f>IFERROR(__xludf.DUMMYFUNCTION("""COMPUTED_VALUE"""),"(256,256,3)")</f>
        <v>(256,256,3)</v>
      </c>
      <c r="F86" s="21" t="str">
        <f>IFERROR(__xludf.DUMMYFUNCTION("""COMPUTED_VALUE"""),"FC1024")</f>
        <v>FC1024</v>
      </c>
      <c r="G86" s="21">
        <f>IFERROR(__xludf.DUMMYFUNCTION("""COMPUTED_VALUE"""),"0.2")</f>
        <v>0.2</v>
      </c>
      <c r="H86" s="21" t="str">
        <f>IFERROR(__xludf.DUMMYFUNCTION("""COMPUTED_VALUE"""),"Adam")</f>
        <v>Adam</v>
      </c>
      <c r="I86" s="27">
        <f>IFERROR(__xludf.DUMMYFUNCTION("""COMPUTED_VALUE"""),"1.00E-05")</f>
        <v>0.00001</v>
      </c>
      <c r="J86" s="21">
        <f>IFERROR(__xludf.DUMMYFUNCTION("""COMPUTED_VALUE"""),"40")</f>
        <v>40</v>
      </c>
      <c r="K86" s="21">
        <f>IFERROR(__xludf.DUMMYFUNCTION("""COMPUTED_VALUE"""),"200")</f>
        <v>200</v>
      </c>
      <c r="L86" s="21">
        <f>IFERROR(__xludf.DUMMYFUNCTION("""COMPUTED_VALUE"""),"52.24137931")</f>
        <v>52.24137931</v>
      </c>
      <c r="M86" s="21">
        <f>IFERROR(__xludf.DUMMYFUNCTION("""COMPUTED_VALUE"""),"1")</f>
        <v>1</v>
      </c>
      <c r="N86" s="9" t="s">
        <v>102</v>
      </c>
      <c r="O86" s="26">
        <f t="shared" si="2"/>
        <v>0.17</v>
      </c>
      <c r="P86" s="21">
        <f>IFERROR(__xludf.DUMMYFUNCTION("""COMPUTED_VALUE"""),"0.73")</f>
        <v>0.73</v>
      </c>
      <c r="Q86" s="21">
        <f>IFERROR(__xludf.DUMMYFUNCTION("""COMPUTED_VALUE"""),"0.27")</f>
        <v>0.27</v>
      </c>
      <c r="R86" s="21">
        <f>IFERROR(__xludf.DUMMYFUNCTION("""COMPUTED_VALUE"""),"41")</f>
        <v>41</v>
      </c>
      <c r="S86" s="13" t="s">
        <v>32</v>
      </c>
    </row>
    <row r="87">
      <c r="A87" s="13">
        <v>11.0</v>
      </c>
      <c r="B87" s="9" t="s">
        <v>101</v>
      </c>
      <c r="C87" s="21" t="str">
        <f t="shared" si="3"/>
        <v>XceptionTransferLearning</v>
      </c>
      <c r="D87" s="21">
        <f>IFERROR(__xludf.DUMMYFUNCTION("""COMPUTED_VALUE"""),"5798")</f>
        <v>5798</v>
      </c>
      <c r="E87" s="21" t="str">
        <f>IFERROR(__xludf.DUMMYFUNCTION("""COMPUTED_VALUE"""),"(256,256,3)")</f>
        <v>(256,256,3)</v>
      </c>
      <c r="F87" s="21" t="str">
        <f>IFERROR(__xludf.DUMMYFUNCTION("""COMPUTED_VALUE"""),"FC1024")</f>
        <v>FC1024</v>
      </c>
      <c r="G87" s="21">
        <f>IFERROR(__xludf.DUMMYFUNCTION("""COMPUTED_VALUE"""),"0.2")</f>
        <v>0.2</v>
      </c>
      <c r="H87" s="21" t="str">
        <f>IFERROR(__xludf.DUMMYFUNCTION("""COMPUTED_VALUE"""),"Adam")</f>
        <v>Adam</v>
      </c>
      <c r="I87" s="27">
        <f>IFERROR(__xludf.DUMMYFUNCTION("""COMPUTED_VALUE"""),"1.00E-05")</f>
        <v>0.00001</v>
      </c>
      <c r="J87" s="21">
        <f>IFERROR(__xludf.DUMMYFUNCTION("""COMPUTED_VALUE"""),"40")</f>
        <v>40</v>
      </c>
      <c r="K87" s="21">
        <f>IFERROR(__xludf.DUMMYFUNCTION("""COMPUTED_VALUE"""),"200")</f>
        <v>200</v>
      </c>
      <c r="L87" s="21">
        <f>IFERROR(__xludf.DUMMYFUNCTION("""COMPUTED_VALUE"""),"52.24137931")</f>
        <v>52.24137931</v>
      </c>
      <c r="M87" s="21">
        <f>IFERROR(__xludf.DUMMYFUNCTION("""COMPUTED_VALUE"""),"1")</f>
        <v>1</v>
      </c>
      <c r="N87" s="9" t="s">
        <v>103</v>
      </c>
      <c r="O87" s="26">
        <f t="shared" si="2"/>
        <v>0.68</v>
      </c>
      <c r="P87" s="21">
        <f>IFERROR(__xludf.DUMMYFUNCTION("""COMPUTED_VALUE"""),"0.46")</f>
        <v>0.46</v>
      </c>
      <c r="Q87" s="21">
        <f>IFERROR(__xludf.DUMMYFUNCTION("""COMPUTED_VALUE"""),"0.55")</f>
        <v>0.55</v>
      </c>
      <c r="R87" s="21">
        <f>IFERROR(__xludf.DUMMYFUNCTION("""COMPUTED_VALUE"""),"340")</f>
        <v>340</v>
      </c>
      <c r="S87" s="9" t="s">
        <v>29</v>
      </c>
    </row>
    <row r="88">
      <c r="A88" s="13">
        <v>11.0</v>
      </c>
      <c r="B88" s="9" t="s">
        <v>101</v>
      </c>
      <c r="C88" s="21" t="str">
        <f t="shared" si="3"/>
        <v>XceptionTransferLearning</v>
      </c>
      <c r="D88" s="21">
        <f>IFERROR(__xludf.DUMMYFUNCTION("""COMPUTED_VALUE"""),"5798")</f>
        <v>5798</v>
      </c>
      <c r="E88" s="21" t="str">
        <f>IFERROR(__xludf.DUMMYFUNCTION("""COMPUTED_VALUE"""),"(256,256,3)")</f>
        <v>(256,256,3)</v>
      </c>
      <c r="F88" s="21" t="str">
        <f>IFERROR(__xludf.DUMMYFUNCTION("""COMPUTED_VALUE"""),"FC1024")</f>
        <v>FC1024</v>
      </c>
      <c r="G88" s="21">
        <f>IFERROR(__xludf.DUMMYFUNCTION("""COMPUTED_VALUE"""),"0.2")</f>
        <v>0.2</v>
      </c>
      <c r="H88" s="21" t="str">
        <f>IFERROR(__xludf.DUMMYFUNCTION("""COMPUTED_VALUE"""),"Adam")</f>
        <v>Adam</v>
      </c>
      <c r="I88" s="27">
        <f>IFERROR(__xludf.DUMMYFUNCTION("""COMPUTED_VALUE"""),"1.00E-05")</f>
        <v>0.00001</v>
      </c>
      <c r="J88" s="21">
        <f>IFERROR(__xludf.DUMMYFUNCTION("""COMPUTED_VALUE"""),"40")</f>
        <v>40</v>
      </c>
      <c r="K88" s="21">
        <f>IFERROR(__xludf.DUMMYFUNCTION("""COMPUTED_VALUE"""),"200")</f>
        <v>200</v>
      </c>
      <c r="L88" s="21">
        <f>IFERROR(__xludf.DUMMYFUNCTION("""COMPUTED_VALUE"""),"52.24137931")</f>
        <v>52.24137931</v>
      </c>
      <c r="M88" s="21">
        <f>IFERROR(__xludf.DUMMYFUNCTION("""COMPUTED_VALUE"""),"1")</f>
        <v>1</v>
      </c>
      <c r="N88" s="9" t="s">
        <v>104</v>
      </c>
      <c r="O88" s="26">
        <f t="shared" si="2"/>
        <v>0.68</v>
      </c>
      <c r="P88" s="21">
        <f>IFERROR(__xludf.DUMMYFUNCTION("""COMPUTED_VALUE"""),"0.58")</f>
        <v>0.58</v>
      </c>
      <c r="Q88" s="21">
        <f>IFERROR(__xludf.DUMMYFUNCTION("""COMPUTED_VALUE"""),"0.63")</f>
        <v>0.63</v>
      </c>
      <c r="R88" s="21">
        <f>IFERROR(__xludf.DUMMYFUNCTION("""COMPUTED_VALUE"""),"199")</f>
        <v>199</v>
      </c>
      <c r="S88" s="9" t="s">
        <v>21</v>
      </c>
    </row>
    <row r="89">
      <c r="A89" s="13">
        <v>10.0</v>
      </c>
      <c r="B89" s="9" t="s">
        <v>105</v>
      </c>
      <c r="C89" s="21" t="str">
        <f t="shared" si="3"/>
        <v>XceptionTransferLearning</v>
      </c>
      <c r="D89" s="21">
        <f>IFERROR(__xludf.DUMMYFUNCTION("""COMPUTED_VALUE"""),"5798")</f>
        <v>5798</v>
      </c>
      <c r="E89" s="21" t="str">
        <f>IFERROR(__xludf.DUMMYFUNCTION("""COMPUTED_VALUE"""),"(256,256,3)")</f>
        <v>(256,256,3)</v>
      </c>
      <c r="F89" s="21" t="str">
        <f>IFERROR(__xludf.DUMMYFUNCTION("""COMPUTED_VALUE"""),"FC1024")</f>
        <v>FC1024</v>
      </c>
      <c r="G89" s="21">
        <f>IFERROR(__xludf.DUMMYFUNCTION("""COMPUTED_VALUE"""),"0.1")</f>
        <v>0.1</v>
      </c>
      <c r="H89" s="21" t="str">
        <f>IFERROR(__xludf.DUMMYFUNCTION("""COMPUTED_VALUE"""),"Adam")</f>
        <v>Adam</v>
      </c>
      <c r="I89" s="21">
        <f>IFERROR(__xludf.DUMMYFUNCTION("""COMPUTED_VALUE"""),"0.001")</f>
        <v>0.001</v>
      </c>
      <c r="J89" s="21">
        <f>IFERROR(__xludf.DUMMYFUNCTION("""COMPUTED_VALUE"""),"25")</f>
        <v>25</v>
      </c>
      <c r="K89" s="21">
        <f>IFERROR(__xludf.DUMMYFUNCTION("""COMPUTED_VALUE"""),"100")</f>
        <v>100</v>
      </c>
      <c r="L89" s="21">
        <f>IFERROR(__xludf.DUMMYFUNCTION("""COMPUTED_VALUE"""),"46.98275862")</f>
        <v>46.98275862</v>
      </c>
      <c r="M89" s="21">
        <f>IFERROR(__xludf.DUMMYFUNCTION("""COMPUTED_VALUE"""),"1")</f>
        <v>1</v>
      </c>
      <c r="N89" s="9" t="s">
        <v>106</v>
      </c>
      <c r="O89" s="26">
        <f t="shared" si="2"/>
        <v>0.07</v>
      </c>
      <c r="P89" s="21">
        <f>IFERROR(__xludf.DUMMYFUNCTION("""COMPUTED_VALUE"""),"0.7")</f>
        <v>0.7</v>
      </c>
      <c r="Q89" s="21">
        <f>IFERROR(__xludf.DUMMYFUNCTION("""COMPUTED_VALUE"""),"0.13")</f>
        <v>0.13</v>
      </c>
      <c r="R89" s="21">
        <f>IFERROR(__xludf.DUMMYFUNCTION("""COMPUTED_VALUE"""),"37")</f>
        <v>37</v>
      </c>
      <c r="S89" s="13" t="s">
        <v>32</v>
      </c>
    </row>
    <row r="90">
      <c r="A90" s="13">
        <v>10.0</v>
      </c>
      <c r="B90" s="9" t="s">
        <v>105</v>
      </c>
      <c r="C90" s="21" t="str">
        <f t="shared" si="3"/>
        <v>XceptionTransferLearning</v>
      </c>
      <c r="D90" s="21">
        <f>IFERROR(__xludf.DUMMYFUNCTION("""COMPUTED_VALUE"""),"5798")</f>
        <v>5798</v>
      </c>
      <c r="E90" s="21" t="str">
        <f>IFERROR(__xludf.DUMMYFUNCTION("""COMPUTED_VALUE"""),"(256,256,3)")</f>
        <v>(256,256,3)</v>
      </c>
      <c r="F90" s="21" t="str">
        <f>IFERROR(__xludf.DUMMYFUNCTION("""COMPUTED_VALUE"""),"FC1024")</f>
        <v>FC1024</v>
      </c>
      <c r="G90" s="21">
        <f>IFERROR(__xludf.DUMMYFUNCTION("""COMPUTED_VALUE"""),"0.1")</f>
        <v>0.1</v>
      </c>
      <c r="H90" s="21" t="str">
        <f>IFERROR(__xludf.DUMMYFUNCTION("""COMPUTED_VALUE"""),"Adam")</f>
        <v>Adam</v>
      </c>
      <c r="I90" s="21">
        <f>IFERROR(__xludf.DUMMYFUNCTION("""COMPUTED_VALUE"""),"0.001")</f>
        <v>0.001</v>
      </c>
      <c r="J90" s="21">
        <f>IFERROR(__xludf.DUMMYFUNCTION("""COMPUTED_VALUE"""),"25")</f>
        <v>25</v>
      </c>
      <c r="K90" s="21">
        <f>IFERROR(__xludf.DUMMYFUNCTION("""COMPUTED_VALUE"""),"100")</f>
        <v>100</v>
      </c>
      <c r="L90" s="21">
        <f>IFERROR(__xludf.DUMMYFUNCTION("""COMPUTED_VALUE"""),"46.98275862")</f>
        <v>46.98275862</v>
      </c>
      <c r="M90" s="21">
        <f>IFERROR(__xludf.DUMMYFUNCTION("""COMPUTED_VALUE"""),"1")</f>
        <v>1</v>
      </c>
      <c r="N90" s="9" t="s">
        <v>107</v>
      </c>
      <c r="O90" s="26">
        <f t="shared" si="2"/>
        <v>0.48</v>
      </c>
      <c r="P90" s="21">
        <f>IFERROR(__xludf.DUMMYFUNCTION("""COMPUTED_VALUE"""),"0.43")</f>
        <v>0.43</v>
      </c>
      <c r="Q90" s="21">
        <f>IFERROR(__xludf.DUMMYFUNCTION("""COMPUTED_VALUE"""),"0.46")</f>
        <v>0.46</v>
      </c>
      <c r="R90" s="21">
        <f>IFERROR(__xludf.DUMMYFUNCTION("""COMPUTED_VALUE"""),"506")</f>
        <v>506</v>
      </c>
      <c r="S90" s="9" t="s">
        <v>29</v>
      </c>
    </row>
    <row r="91">
      <c r="A91" s="13">
        <v>10.0</v>
      </c>
      <c r="B91" s="9" t="s">
        <v>105</v>
      </c>
      <c r="C91" s="21" t="str">
        <f t="shared" si="3"/>
        <v>XceptionTransferLearning</v>
      </c>
      <c r="D91" s="21">
        <f>IFERROR(__xludf.DUMMYFUNCTION("""COMPUTED_VALUE"""),"5798")</f>
        <v>5798</v>
      </c>
      <c r="E91" s="21" t="str">
        <f>IFERROR(__xludf.DUMMYFUNCTION("""COMPUTED_VALUE"""),"(256,256,3)")</f>
        <v>(256,256,3)</v>
      </c>
      <c r="F91" s="21" t="str">
        <f>IFERROR(__xludf.DUMMYFUNCTION("""COMPUTED_VALUE"""),"FC1024")</f>
        <v>FC1024</v>
      </c>
      <c r="G91" s="21">
        <f>IFERROR(__xludf.DUMMYFUNCTION("""COMPUTED_VALUE"""),"0.1")</f>
        <v>0.1</v>
      </c>
      <c r="H91" s="21" t="str">
        <f>IFERROR(__xludf.DUMMYFUNCTION("""COMPUTED_VALUE"""),"Adam")</f>
        <v>Adam</v>
      </c>
      <c r="I91" s="21">
        <f>IFERROR(__xludf.DUMMYFUNCTION("""COMPUTED_VALUE"""),"0.001")</f>
        <v>0.001</v>
      </c>
      <c r="J91" s="21">
        <f>IFERROR(__xludf.DUMMYFUNCTION("""COMPUTED_VALUE"""),"25")</f>
        <v>25</v>
      </c>
      <c r="K91" s="21">
        <f>IFERROR(__xludf.DUMMYFUNCTION("""COMPUTED_VALUE"""),"100")</f>
        <v>100</v>
      </c>
      <c r="L91" s="21">
        <f>IFERROR(__xludf.DUMMYFUNCTION("""COMPUTED_VALUE"""),"46.98275862")</f>
        <v>46.98275862</v>
      </c>
      <c r="M91" s="21">
        <f>IFERROR(__xludf.DUMMYFUNCTION("""COMPUTED_VALUE"""),"1")</f>
        <v>1</v>
      </c>
      <c r="N91" s="9" t="s">
        <v>108</v>
      </c>
      <c r="O91" s="26">
        <f t="shared" si="2"/>
        <v>0.88</v>
      </c>
      <c r="P91" s="21">
        <f>IFERROR(__xludf.DUMMYFUNCTION("""COMPUTED_VALUE"""),"0.48")</f>
        <v>0.48</v>
      </c>
      <c r="Q91" s="21">
        <f>IFERROR(__xludf.DUMMYFUNCTION("""COMPUTED_VALUE"""),"0.62")</f>
        <v>0.62</v>
      </c>
      <c r="R91" s="21">
        <f>IFERROR(__xludf.DUMMYFUNCTION("""COMPUTED_VALUE"""),"617")</f>
        <v>617</v>
      </c>
      <c r="S91" s="9" t="s">
        <v>21</v>
      </c>
    </row>
    <row r="92">
      <c r="A92" s="13">
        <v>9.0</v>
      </c>
      <c r="B92" s="9" t="s">
        <v>109</v>
      </c>
      <c r="C92" s="21" t="str">
        <f t="shared" si="3"/>
        <v>XceptionTransferLearning</v>
      </c>
      <c r="D92" s="21">
        <f>IFERROR(__xludf.DUMMYFUNCTION("""COMPUTED_VALUE"""),"5798")</f>
        <v>5798</v>
      </c>
      <c r="E92" s="21" t="str">
        <f>IFERROR(__xludf.DUMMYFUNCTION("""COMPUTED_VALUE"""),"(256,256,3)")</f>
        <v>(256,256,3)</v>
      </c>
      <c r="F92" s="21" t="str">
        <f>IFERROR(__xludf.DUMMYFUNCTION("""COMPUTED_VALUE"""),"FC1024")</f>
        <v>FC1024</v>
      </c>
      <c r="G92" s="21">
        <f>IFERROR(__xludf.DUMMYFUNCTION("""COMPUTED_VALUE"""),"0.05")</f>
        <v>0.05</v>
      </c>
      <c r="H92" s="21" t="str">
        <f>IFERROR(__xludf.DUMMYFUNCTION("""COMPUTED_VALUE"""),"RMS")</f>
        <v>RMS</v>
      </c>
      <c r="I92" s="21">
        <f>IFERROR(__xludf.DUMMYFUNCTION("""COMPUTED_VALUE"""),"0.0001")</f>
        <v>0.0001</v>
      </c>
      <c r="J92" s="21">
        <f>IFERROR(__xludf.DUMMYFUNCTION("""COMPUTED_VALUE"""),"25")</f>
        <v>25</v>
      </c>
      <c r="K92" s="21">
        <f>IFERROR(__xludf.DUMMYFUNCTION("""COMPUTED_VALUE"""),"75")</f>
        <v>75</v>
      </c>
      <c r="L92" s="21">
        <f>IFERROR(__xludf.DUMMYFUNCTION("""COMPUTED_VALUE"""),"53.96551724")</f>
        <v>53.96551724</v>
      </c>
      <c r="M92" s="21">
        <f>IFERROR(__xludf.DUMMYFUNCTION("""COMPUTED_VALUE"""),"1")</f>
        <v>1</v>
      </c>
      <c r="N92" s="9" t="s">
        <v>110</v>
      </c>
      <c r="O92" s="26">
        <f t="shared" si="2"/>
        <v>0.47</v>
      </c>
      <c r="P92" s="21">
        <f>IFERROR(__xludf.DUMMYFUNCTION("""COMPUTED_VALUE"""),"0.62")</f>
        <v>0.62</v>
      </c>
      <c r="Q92" s="21">
        <f>IFERROR(__xludf.DUMMYFUNCTION("""COMPUTED_VALUE"""),"0.53")</f>
        <v>0.53</v>
      </c>
      <c r="R92" s="21">
        <f>IFERROR(__xludf.DUMMYFUNCTION("""COMPUTED_VALUE"""),"271")</f>
        <v>271</v>
      </c>
      <c r="S92" s="13" t="s">
        <v>32</v>
      </c>
    </row>
    <row r="93">
      <c r="A93" s="13">
        <v>9.0</v>
      </c>
      <c r="B93" s="9" t="s">
        <v>109</v>
      </c>
      <c r="C93" s="21" t="str">
        <f t="shared" si="3"/>
        <v>XceptionTransferLearning</v>
      </c>
      <c r="D93" s="21">
        <f>IFERROR(__xludf.DUMMYFUNCTION("""COMPUTED_VALUE"""),"5798")</f>
        <v>5798</v>
      </c>
      <c r="E93" s="21" t="str">
        <f>IFERROR(__xludf.DUMMYFUNCTION("""COMPUTED_VALUE"""),"(256,256,3)")</f>
        <v>(256,256,3)</v>
      </c>
      <c r="F93" s="21" t="str">
        <f>IFERROR(__xludf.DUMMYFUNCTION("""COMPUTED_VALUE"""),"FC1024")</f>
        <v>FC1024</v>
      </c>
      <c r="G93" s="21">
        <f>IFERROR(__xludf.DUMMYFUNCTION("""COMPUTED_VALUE"""),"0.05")</f>
        <v>0.05</v>
      </c>
      <c r="H93" s="21" t="str">
        <f>IFERROR(__xludf.DUMMYFUNCTION("""COMPUTED_VALUE"""),"RMS")</f>
        <v>RMS</v>
      </c>
      <c r="I93" s="21">
        <f>IFERROR(__xludf.DUMMYFUNCTION("""COMPUTED_VALUE"""),"0.0001")</f>
        <v>0.0001</v>
      </c>
      <c r="J93" s="21">
        <f>IFERROR(__xludf.DUMMYFUNCTION("""COMPUTED_VALUE"""),"25")</f>
        <v>25</v>
      </c>
      <c r="K93" s="21">
        <f>IFERROR(__xludf.DUMMYFUNCTION("""COMPUTED_VALUE"""),"75")</f>
        <v>75</v>
      </c>
      <c r="L93" s="21">
        <f>IFERROR(__xludf.DUMMYFUNCTION("""COMPUTED_VALUE"""),"53.96551724")</f>
        <v>53.96551724</v>
      </c>
      <c r="M93" s="21">
        <f>IFERROR(__xludf.DUMMYFUNCTION("""COMPUTED_VALUE"""),"1")</f>
        <v>1</v>
      </c>
      <c r="N93" s="9" t="s">
        <v>111</v>
      </c>
      <c r="O93" s="26">
        <f t="shared" si="2"/>
        <v>0.61</v>
      </c>
      <c r="P93" s="21">
        <f>IFERROR(__xludf.DUMMYFUNCTION("""COMPUTED_VALUE"""),"0.46")</f>
        <v>0.46</v>
      </c>
      <c r="Q93" s="21">
        <f>IFERROR(__xludf.DUMMYFUNCTION("""COMPUTED_VALUE"""),"0.53")</f>
        <v>0.53</v>
      </c>
      <c r="R93" s="21">
        <f>IFERROR(__xludf.DUMMYFUNCTION("""COMPUTED_VALUE"""),"612")</f>
        <v>612</v>
      </c>
      <c r="S93" s="9" t="s">
        <v>29</v>
      </c>
    </row>
    <row r="94">
      <c r="A94" s="13">
        <v>9.0</v>
      </c>
      <c r="B94" s="9" t="s">
        <v>109</v>
      </c>
      <c r="C94" s="21" t="str">
        <f t="shared" si="3"/>
        <v>XceptionTransferLearning</v>
      </c>
      <c r="D94" s="21">
        <f>IFERROR(__xludf.DUMMYFUNCTION("""COMPUTED_VALUE"""),"5798")</f>
        <v>5798</v>
      </c>
      <c r="E94" s="21" t="str">
        <f>IFERROR(__xludf.DUMMYFUNCTION("""COMPUTED_VALUE"""),"(256,256,3)")</f>
        <v>(256,256,3)</v>
      </c>
      <c r="F94" s="21" t="str">
        <f>IFERROR(__xludf.DUMMYFUNCTION("""COMPUTED_VALUE"""),"FC1024")</f>
        <v>FC1024</v>
      </c>
      <c r="G94" s="21">
        <f>IFERROR(__xludf.DUMMYFUNCTION("""COMPUTED_VALUE"""),"0.05")</f>
        <v>0.05</v>
      </c>
      <c r="H94" s="21" t="str">
        <f>IFERROR(__xludf.DUMMYFUNCTION("""COMPUTED_VALUE"""),"RMS")</f>
        <v>RMS</v>
      </c>
      <c r="I94" s="21">
        <f>IFERROR(__xludf.DUMMYFUNCTION("""COMPUTED_VALUE"""),"0.0001")</f>
        <v>0.0001</v>
      </c>
      <c r="J94" s="21">
        <f>IFERROR(__xludf.DUMMYFUNCTION("""COMPUTED_VALUE"""),"25")</f>
        <v>25</v>
      </c>
      <c r="K94" s="21">
        <f>IFERROR(__xludf.DUMMYFUNCTION("""COMPUTED_VALUE"""),"75")</f>
        <v>75</v>
      </c>
      <c r="L94" s="21">
        <f>IFERROR(__xludf.DUMMYFUNCTION("""COMPUTED_VALUE"""),"53.96551724")</f>
        <v>53.96551724</v>
      </c>
      <c r="M94" s="21">
        <f>IFERROR(__xludf.DUMMYFUNCTION("""COMPUTED_VALUE"""),"1")</f>
        <v>1</v>
      </c>
      <c r="N94" s="9" t="s">
        <v>112</v>
      </c>
      <c r="O94" s="26">
        <f t="shared" si="2"/>
        <v>0.52</v>
      </c>
      <c r="P94" s="21">
        <f>IFERROR(__xludf.DUMMYFUNCTION("""COMPUTED_VALUE"""),"0.64")</f>
        <v>0.64</v>
      </c>
      <c r="Q94" s="21">
        <f>IFERROR(__xludf.DUMMYFUNCTION("""COMPUTED_VALUE"""),"0.57")</f>
        <v>0.57</v>
      </c>
      <c r="R94" s="21">
        <f>IFERROR(__xludf.DUMMYFUNCTION("""COMPUTED_VALUE"""),"277")</f>
        <v>277</v>
      </c>
      <c r="S94" s="9" t="s">
        <v>21</v>
      </c>
    </row>
    <row r="95">
      <c r="A95" s="13">
        <v>8.0</v>
      </c>
      <c r="B95" s="9" t="s">
        <v>113</v>
      </c>
      <c r="C95" s="21" t="str">
        <f t="shared" si="3"/>
        <v>XceptionTransferLearning</v>
      </c>
      <c r="D95" s="21">
        <f>IFERROR(__xludf.DUMMYFUNCTION("""COMPUTED_VALUE"""),"2899")</f>
        <v>2899</v>
      </c>
      <c r="E95" s="21" t="str">
        <f>IFERROR(__xludf.DUMMYFUNCTION("""COMPUTED_VALUE"""),"(256,256,3)")</f>
        <v>(256,256,3)</v>
      </c>
      <c r="F95" s="21" t="str">
        <f>IFERROR(__xludf.DUMMYFUNCTION("""COMPUTED_VALUE"""),"FC1024")</f>
        <v>FC1024</v>
      </c>
      <c r="G95" s="21">
        <f>IFERROR(__xludf.DUMMYFUNCTION("""COMPUTED_VALUE"""),"0.2")</f>
        <v>0.2</v>
      </c>
      <c r="H95" s="21" t="str">
        <f>IFERROR(__xludf.DUMMYFUNCTION("""COMPUTED_VALUE"""),"Adam")</f>
        <v>Adam</v>
      </c>
      <c r="I95" s="21">
        <f>IFERROR(__xludf.DUMMYFUNCTION("""COMPUTED_VALUE"""),"0.0001")</f>
        <v>0.0001</v>
      </c>
      <c r="J95" s="21">
        <f>IFERROR(__xludf.DUMMYFUNCTION("""COMPUTED_VALUE"""),"50")</f>
        <v>50</v>
      </c>
      <c r="K95" s="21">
        <f>IFERROR(__xludf.DUMMYFUNCTION("""COMPUTED_VALUE"""),"50")</f>
        <v>50</v>
      </c>
      <c r="L95" s="21">
        <f>IFERROR(__xludf.DUMMYFUNCTION("""COMPUTED_VALUE"""),"53.44827586")</f>
        <v>53.44827586</v>
      </c>
      <c r="M95" s="21">
        <f>IFERROR(__xludf.DUMMYFUNCTION("""COMPUTED_VALUE"""),"1")</f>
        <v>1</v>
      </c>
      <c r="N95" s="9" t="s">
        <v>114</v>
      </c>
      <c r="O95" s="26">
        <f t="shared" si="2"/>
        <v>0.25</v>
      </c>
      <c r="P95" s="21">
        <f>IFERROR(__xludf.DUMMYFUNCTION("""COMPUTED_VALUE"""),"0.69")</f>
        <v>0.69</v>
      </c>
      <c r="Q95" s="21">
        <f>IFERROR(__xludf.DUMMYFUNCTION("""COMPUTED_VALUE"""),"0.37")</f>
        <v>0.37</v>
      </c>
      <c r="R95" s="21">
        <f>IFERROR(__xludf.DUMMYFUNCTION("""COMPUTED_VALUE"""),"65")</f>
        <v>65</v>
      </c>
      <c r="S95" s="13" t="s">
        <v>32</v>
      </c>
    </row>
    <row r="96">
      <c r="A96" s="13">
        <v>8.0</v>
      </c>
      <c r="B96" s="9" t="s">
        <v>113</v>
      </c>
      <c r="C96" s="21" t="str">
        <f t="shared" si="3"/>
        <v>XceptionTransferLearning</v>
      </c>
      <c r="D96" s="21">
        <f>IFERROR(__xludf.DUMMYFUNCTION("""COMPUTED_VALUE"""),"2899")</f>
        <v>2899</v>
      </c>
      <c r="E96" s="21" t="str">
        <f>IFERROR(__xludf.DUMMYFUNCTION("""COMPUTED_VALUE"""),"(256,256,3)")</f>
        <v>(256,256,3)</v>
      </c>
      <c r="F96" s="21" t="str">
        <f>IFERROR(__xludf.DUMMYFUNCTION("""COMPUTED_VALUE"""),"FC1024")</f>
        <v>FC1024</v>
      </c>
      <c r="G96" s="21">
        <f>IFERROR(__xludf.DUMMYFUNCTION("""COMPUTED_VALUE"""),"0.2")</f>
        <v>0.2</v>
      </c>
      <c r="H96" s="21" t="str">
        <f>IFERROR(__xludf.DUMMYFUNCTION("""COMPUTED_VALUE"""),"Adam")</f>
        <v>Adam</v>
      </c>
      <c r="I96" s="21">
        <f>IFERROR(__xludf.DUMMYFUNCTION("""COMPUTED_VALUE"""),"0.0001")</f>
        <v>0.0001</v>
      </c>
      <c r="J96" s="21">
        <f>IFERROR(__xludf.DUMMYFUNCTION("""COMPUTED_VALUE"""),"50")</f>
        <v>50</v>
      </c>
      <c r="K96" s="21">
        <f>IFERROR(__xludf.DUMMYFUNCTION("""COMPUTED_VALUE"""),"50")</f>
        <v>50</v>
      </c>
      <c r="L96" s="21">
        <f>IFERROR(__xludf.DUMMYFUNCTION("""COMPUTED_VALUE"""),"53.44827586")</f>
        <v>53.44827586</v>
      </c>
      <c r="M96" s="21">
        <f>IFERROR(__xludf.DUMMYFUNCTION("""COMPUTED_VALUE"""),"1")</f>
        <v>1</v>
      </c>
      <c r="N96" s="9" t="s">
        <v>115</v>
      </c>
      <c r="O96" s="26">
        <f t="shared" si="2"/>
        <v>0.79</v>
      </c>
      <c r="P96" s="21">
        <f>IFERROR(__xludf.DUMMYFUNCTION("""COMPUTED_VALUE"""),"0.46")</f>
        <v>0.46</v>
      </c>
      <c r="Q96" s="21">
        <f>IFERROR(__xludf.DUMMYFUNCTION("""COMPUTED_VALUE"""),"0.58")</f>
        <v>0.58</v>
      </c>
      <c r="R96" s="21">
        <f>IFERROR(__xludf.DUMMYFUNCTION("""COMPUTED_VALUE"""),"399")</f>
        <v>399</v>
      </c>
      <c r="S96" s="9" t="s">
        <v>29</v>
      </c>
    </row>
    <row r="97">
      <c r="A97" s="13">
        <v>8.0</v>
      </c>
      <c r="B97" s="9" t="s">
        <v>113</v>
      </c>
      <c r="C97" s="21" t="str">
        <f t="shared" si="3"/>
        <v>XceptionTransferLearning</v>
      </c>
      <c r="D97" s="21">
        <f>IFERROR(__xludf.DUMMYFUNCTION("""COMPUTED_VALUE"""),"2899")</f>
        <v>2899</v>
      </c>
      <c r="E97" s="21" t="str">
        <f>IFERROR(__xludf.DUMMYFUNCTION("""COMPUTED_VALUE"""),"(256,256,3)")</f>
        <v>(256,256,3)</v>
      </c>
      <c r="F97" s="21" t="str">
        <f>IFERROR(__xludf.DUMMYFUNCTION("""COMPUTED_VALUE"""),"FC1024")</f>
        <v>FC1024</v>
      </c>
      <c r="G97" s="21">
        <f>IFERROR(__xludf.DUMMYFUNCTION("""COMPUTED_VALUE"""),"0.2")</f>
        <v>0.2</v>
      </c>
      <c r="H97" s="21" t="str">
        <f>IFERROR(__xludf.DUMMYFUNCTION("""COMPUTED_VALUE"""),"Adam")</f>
        <v>Adam</v>
      </c>
      <c r="I97" s="21">
        <f>IFERROR(__xludf.DUMMYFUNCTION("""COMPUTED_VALUE"""),"0.0001")</f>
        <v>0.0001</v>
      </c>
      <c r="J97" s="21">
        <f>IFERROR(__xludf.DUMMYFUNCTION("""COMPUTED_VALUE"""),"50")</f>
        <v>50</v>
      </c>
      <c r="K97" s="21">
        <f>IFERROR(__xludf.DUMMYFUNCTION("""COMPUTED_VALUE"""),"50")</f>
        <v>50</v>
      </c>
      <c r="L97" s="21">
        <f>IFERROR(__xludf.DUMMYFUNCTION("""COMPUTED_VALUE"""),"53.44827586")</f>
        <v>53.44827586</v>
      </c>
      <c r="M97" s="21">
        <f>IFERROR(__xludf.DUMMYFUNCTION("""COMPUTED_VALUE"""),"1")</f>
        <v>1</v>
      </c>
      <c r="N97" s="9" t="s">
        <v>116</v>
      </c>
      <c r="O97" s="26">
        <f t="shared" si="2"/>
        <v>0.49</v>
      </c>
      <c r="P97" s="21">
        <f>IFERROR(__xludf.DUMMYFUNCTION("""COMPUTED_VALUE"""),"0.72")</f>
        <v>0.72</v>
      </c>
      <c r="Q97" s="21">
        <f>IFERROR(__xludf.DUMMYFUNCTION("""COMPUTED_VALUE"""),"0.58")</f>
        <v>0.58</v>
      </c>
      <c r="R97" s="21">
        <f>IFERROR(__xludf.DUMMYFUNCTION("""COMPUTED_VALUE"""),"116")</f>
        <v>116</v>
      </c>
      <c r="S97" s="9" t="s">
        <v>21</v>
      </c>
    </row>
    <row r="98">
      <c r="A98" s="13">
        <v>7.0</v>
      </c>
      <c r="B98" s="9" t="s">
        <v>117</v>
      </c>
      <c r="C98" s="21" t="str">
        <f t="shared" si="3"/>
        <v>XceptionTransferLearning</v>
      </c>
      <c r="D98" s="21">
        <f>IFERROR(__xludf.DUMMYFUNCTION("""COMPUTED_VALUE"""),"1450")</f>
        <v>1450</v>
      </c>
      <c r="E98" s="21" t="str">
        <f>IFERROR(__xludf.DUMMYFUNCTION("""COMPUTED_VALUE"""),"(256,256,3)")</f>
        <v>(256,256,3)</v>
      </c>
      <c r="F98" s="21" t="str">
        <f>IFERROR(__xludf.DUMMYFUNCTION("""COMPUTED_VALUE"""),"FC1024")</f>
        <v>FC1024</v>
      </c>
      <c r="G98" s="21">
        <f>IFERROR(__xludf.DUMMYFUNCTION("""COMPUTED_VALUE"""),"0.05")</f>
        <v>0.05</v>
      </c>
      <c r="H98" s="21" t="str">
        <f>IFERROR(__xludf.DUMMYFUNCTION("""COMPUTED_VALUE"""),"Adam")</f>
        <v>Adam</v>
      </c>
      <c r="I98" s="21">
        <f>IFERROR(__xludf.DUMMYFUNCTION("""COMPUTED_VALUE"""),"0.0001")</f>
        <v>0.0001</v>
      </c>
      <c r="J98" s="21">
        <f>IFERROR(__xludf.DUMMYFUNCTION("""COMPUTED_VALUE"""),"30")</f>
        <v>30</v>
      </c>
      <c r="K98" s="21">
        <f>IFERROR(__xludf.DUMMYFUNCTION("""COMPUTED_VALUE"""),"20")</f>
        <v>20</v>
      </c>
      <c r="L98" s="21">
        <f>IFERROR(__xludf.DUMMYFUNCTION("""COMPUTED_VALUE"""),"53.44827586")</f>
        <v>53.44827586</v>
      </c>
      <c r="M98" s="21">
        <f>IFERROR(__xludf.DUMMYFUNCTION("""COMPUTED_VALUE"""),"1")</f>
        <v>1</v>
      </c>
      <c r="N98" s="9" t="s">
        <v>118</v>
      </c>
      <c r="O98" s="26">
        <f t="shared" si="2"/>
        <v>0.34</v>
      </c>
      <c r="P98" s="21">
        <f>IFERROR(__xludf.DUMMYFUNCTION("""COMPUTED_VALUE"""),"0.7")</f>
        <v>0.7</v>
      </c>
      <c r="Q98" s="21">
        <f>IFERROR(__xludf.DUMMYFUNCTION("""COMPUTED_VALUE"""),"0.46")</f>
        <v>0.46</v>
      </c>
      <c r="R98" s="21">
        <f>IFERROR(__xludf.DUMMYFUNCTION("""COMPUTED_VALUE"""),"44")</f>
        <v>44</v>
      </c>
      <c r="S98" s="13" t="s">
        <v>32</v>
      </c>
    </row>
    <row r="99">
      <c r="A99" s="13">
        <v>7.0</v>
      </c>
      <c r="B99" s="9" t="s">
        <v>117</v>
      </c>
      <c r="C99" s="21" t="str">
        <f t="shared" si="3"/>
        <v>XceptionTransferLearning</v>
      </c>
      <c r="D99" s="21">
        <f>IFERROR(__xludf.DUMMYFUNCTION("""COMPUTED_VALUE"""),"1450")</f>
        <v>1450</v>
      </c>
      <c r="E99" s="21" t="str">
        <f>IFERROR(__xludf.DUMMYFUNCTION("""COMPUTED_VALUE"""),"(256,256,3)")</f>
        <v>(256,256,3)</v>
      </c>
      <c r="F99" s="21" t="str">
        <f>IFERROR(__xludf.DUMMYFUNCTION("""COMPUTED_VALUE"""),"FC1024")</f>
        <v>FC1024</v>
      </c>
      <c r="G99" s="21">
        <f>IFERROR(__xludf.DUMMYFUNCTION("""COMPUTED_VALUE"""),"0.05")</f>
        <v>0.05</v>
      </c>
      <c r="H99" s="21" t="str">
        <f>IFERROR(__xludf.DUMMYFUNCTION("""COMPUTED_VALUE"""),"Adam")</f>
        <v>Adam</v>
      </c>
      <c r="I99" s="21">
        <f>IFERROR(__xludf.DUMMYFUNCTION("""COMPUTED_VALUE"""),"0.0001")</f>
        <v>0.0001</v>
      </c>
      <c r="J99" s="21">
        <f>IFERROR(__xludf.DUMMYFUNCTION("""COMPUTED_VALUE"""),"30")</f>
        <v>30</v>
      </c>
      <c r="K99" s="21">
        <f>IFERROR(__xludf.DUMMYFUNCTION("""COMPUTED_VALUE"""),"20")</f>
        <v>20</v>
      </c>
      <c r="L99" s="21">
        <f>IFERROR(__xludf.DUMMYFUNCTION("""COMPUTED_VALUE"""),"53.44827586")</f>
        <v>53.44827586</v>
      </c>
      <c r="M99" s="21">
        <f>IFERROR(__xludf.DUMMYFUNCTION("""COMPUTED_VALUE"""),"1")</f>
        <v>1</v>
      </c>
      <c r="N99" s="9" t="s">
        <v>119</v>
      </c>
      <c r="O99" s="26">
        <f t="shared" si="2"/>
        <v>0.61</v>
      </c>
      <c r="P99" s="21">
        <f>IFERROR(__xludf.DUMMYFUNCTION("""COMPUTED_VALUE"""),"0.48")</f>
        <v>0.48</v>
      </c>
      <c r="Q99" s="21">
        <f>IFERROR(__xludf.DUMMYFUNCTION("""COMPUTED_VALUE"""),"0.53")</f>
        <v>0.53</v>
      </c>
      <c r="R99" s="21">
        <f>IFERROR(__xludf.DUMMYFUNCTION("""COMPUTED_VALUE"""),"147")</f>
        <v>147</v>
      </c>
      <c r="S99" s="9" t="s">
        <v>29</v>
      </c>
    </row>
    <row r="100">
      <c r="A100" s="13">
        <v>7.0</v>
      </c>
      <c r="B100" s="9" t="s">
        <v>117</v>
      </c>
      <c r="C100" s="21" t="str">
        <f t="shared" si="3"/>
        <v>XceptionTransferLearning</v>
      </c>
      <c r="D100" s="21">
        <f>IFERROR(__xludf.DUMMYFUNCTION("""COMPUTED_VALUE"""),"1450")</f>
        <v>1450</v>
      </c>
      <c r="E100" s="21" t="str">
        <f>IFERROR(__xludf.DUMMYFUNCTION("""COMPUTED_VALUE"""),"(256,256,3)")</f>
        <v>(256,256,3)</v>
      </c>
      <c r="F100" s="21" t="str">
        <f>IFERROR(__xludf.DUMMYFUNCTION("""COMPUTED_VALUE"""),"FC1024")</f>
        <v>FC1024</v>
      </c>
      <c r="G100" s="21">
        <f>IFERROR(__xludf.DUMMYFUNCTION("""COMPUTED_VALUE"""),"0.05")</f>
        <v>0.05</v>
      </c>
      <c r="H100" s="21" t="str">
        <f>IFERROR(__xludf.DUMMYFUNCTION("""COMPUTED_VALUE"""),"Adam")</f>
        <v>Adam</v>
      </c>
      <c r="I100" s="21">
        <f>IFERROR(__xludf.DUMMYFUNCTION("""COMPUTED_VALUE"""),"0.0001")</f>
        <v>0.0001</v>
      </c>
      <c r="J100" s="21">
        <f>IFERROR(__xludf.DUMMYFUNCTION("""COMPUTED_VALUE"""),"30")</f>
        <v>30</v>
      </c>
      <c r="K100" s="21">
        <f>IFERROR(__xludf.DUMMYFUNCTION("""COMPUTED_VALUE"""),"20")</f>
        <v>20</v>
      </c>
      <c r="L100" s="21">
        <f>IFERROR(__xludf.DUMMYFUNCTION("""COMPUTED_VALUE"""),"53.44827586")</f>
        <v>53.44827586</v>
      </c>
      <c r="M100" s="21">
        <f>IFERROR(__xludf.DUMMYFUNCTION("""COMPUTED_VALUE"""),"1")</f>
        <v>1</v>
      </c>
      <c r="N100" s="9" t="s">
        <v>120</v>
      </c>
      <c r="O100" s="26">
        <f t="shared" si="2"/>
        <v>0.64</v>
      </c>
      <c r="P100" s="21">
        <f>IFERROR(__xludf.DUMMYFUNCTION("""COMPUTED_VALUE"""),"0.55")</f>
        <v>0.55</v>
      </c>
      <c r="Q100" s="21">
        <f>IFERROR(__xludf.DUMMYFUNCTION("""COMPUTED_VALUE"""),"0.59")</f>
        <v>0.59</v>
      </c>
      <c r="R100" s="21">
        <f>IFERROR(__xludf.DUMMYFUNCTION("""COMPUTED_VALUE"""),"99")</f>
        <v>99</v>
      </c>
      <c r="S100" s="9" t="s">
        <v>21</v>
      </c>
    </row>
    <row r="101">
      <c r="A101" s="13">
        <v>6.0</v>
      </c>
      <c r="B101" s="9" t="s">
        <v>121</v>
      </c>
      <c r="C101" s="21" t="str">
        <f t="shared" si="3"/>
        <v>XceptionTransferLearning</v>
      </c>
      <c r="D101" s="21">
        <f>IFERROR(__xludf.DUMMYFUNCTION("""COMPUTED_VALUE"""),"290")</f>
        <v>290</v>
      </c>
      <c r="E101" s="21" t="str">
        <f>IFERROR(__xludf.DUMMYFUNCTION("""COMPUTED_VALUE"""),"(256,256,3)")</f>
        <v>(256,256,3)</v>
      </c>
      <c r="F101" s="21" t="str">
        <f>IFERROR(__xludf.DUMMYFUNCTION("""COMPUTED_VALUE"""),"FC16")</f>
        <v>FC16</v>
      </c>
      <c r="G101" s="21">
        <f>IFERROR(__xludf.DUMMYFUNCTION("""COMPUTED_VALUE"""),"0.2")</f>
        <v>0.2</v>
      </c>
      <c r="H101" s="21" t="str">
        <f>IFERROR(__xludf.DUMMYFUNCTION("""COMPUTED_VALUE"""),"Adam")</f>
        <v>Adam</v>
      </c>
      <c r="I101" s="21">
        <f>IFERROR(__xludf.DUMMYFUNCTION("""COMPUTED_VALUE"""),"0.0001")</f>
        <v>0.0001</v>
      </c>
      <c r="J101" s="21">
        <f>IFERROR(__xludf.DUMMYFUNCTION("""COMPUTED_VALUE"""),"20")</f>
        <v>20</v>
      </c>
      <c r="K101" s="21">
        <f>IFERROR(__xludf.DUMMYFUNCTION("""COMPUTED_VALUE"""),"8")</f>
        <v>8</v>
      </c>
      <c r="L101" s="21">
        <f>IFERROR(__xludf.DUMMYFUNCTION("""COMPUTED_VALUE"""),"46.55172414")</f>
        <v>46.55172414</v>
      </c>
      <c r="M101" s="13">
        <v>1.0</v>
      </c>
      <c r="N101" s="9" t="s">
        <v>122</v>
      </c>
      <c r="O101" s="26">
        <f t="shared" si="2"/>
        <v>0.28</v>
      </c>
      <c r="P101" s="21">
        <f>IFERROR(__xludf.DUMMYFUNCTION("""COMPUTED_VALUE"""),"0.62")</f>
        <v>0.62</v>
      </c>
      <c r="Q101" s="21">
        <f>IFERROR(__xludf.DUMMYFUNCTION("""COMPUTED_VALUE"""),"0.38")</f>
        <v>0.38</v>
      </c>
      <c r="R101" s="21">
        <f>IFERROR(__xludf.DUMMYFUNCTION("""COMPUTED_VALUE"""),"8")</f>
        <v>8</v>
      </c>
      <c r="S101" s="13" t="s">
        <v>32</v>
      </c>
    </row>
    <row r="102">
      <c r="A102" s="13">
        <v>6.0</v>
      </c>
      <c r="B102" s="9" t="s">
        <v>123</v>
      </c>
      <c r="C102" s="21" t="str">
        <f t="shared" si="3"/>
        <v>XceptionTransferLearning</v>
      </c>
      <c r="D102" s="21">
        <f>IFERROR(__xludf.DUMMYFUNCTION("""COMPUTED_VALUE"""),"290")</f>
        <v>290</v>
      </c>
      <c r="E102" s="21" t="str">
        <f>IFERROR(__xludf.DUMMYFUNCTION("""COMPUTED_VALUE"""),"(256,256,3)")</f>
        <v>(256,256,3)</v>
      </c>
      <c r="F102" s="21" t="str">
        <f>IFERROR(__xludf.DUMMYFUNCTION("""COMPUTED_VALUE"""),"FC16")</f>
        <v>FC16</v>
      </c>
      <c r="G102" s="21">
        <f>IFERROR(__xludf.DUMMYFUNCTION("""COMPUTED_VALUE"""),"0.2")</f>
        <v>0.2</v>
      </c>
      <c r="H102" s="21" t="str">
        <f>IFERROR(__xludf.DUMMYFUNCTION("""COMPUTED_VALUE"""),"Adam")</f>
        <v>Adam</v>
      </c>
      <c r="I102" s="21">
        <f>IFERROR(__xludf.DUMMYFUNCTION("""COMPUTED_VALUE"""),"0.0001")</f>
        <v>0.0001</v>
      </c>
      <c r="J102" s="21">
        <f>IFERROR(__xludf.DUMMYFUNCTION("""COMPUTED_VALUE"""),"20")</f>
        <v>20</v>
      </c>
      <c r="K102" s="21">
        <f>IFERROR(__xludf.DUMMYFUNCTION("""COMPUTED_VALUE"""),"8")</f>
        <v>8</v>
      </c>
      <c r="L102" s="21">
        <f>IFERROR(__xludf.DUMMYFUNCTION("""COMPUTED_VALUE"""),"46.55172414")</f>
        <v>46.55172414</v>
      </c>
      <c r="M102" s="13">
        <v>1.0</v>
      </c>
      <c r="N102" s="9" t="s">
        <v>124</v>
      </c>
      <c r="O102" s="26">
        <f t="shared" si="2"/>
        <v>0.35</v>
      </c>
      <c r="P102" s="21">
        <f>IFERROR(__xludf.DUMMYFUNCTION("""COMPUTED_VALUE"""),"0.42")</f>
        <v>0.42</v>
      </c>
      <c r="Q102" s="21">
        <f>IFERROR(__xludf.DUMMYFUNCTION("""COMPUTED_VALUE"""),"0.38")</f>
        <v>0.38</v>
      </c>
      <c r="R102" s="21">
        <f>IFERROR(__xludf.DUMMYFUNCTION("""COMPUTED_VALUE"""),"19")</f>
        <v>19</v>
      </c>
      <c r="S102" s="9" t="s">
        <v>29</v>
      </c>
    </row>
    <row r="103">
      <c r="A103" s="13">
        <v>6.0</v>
      </c>
      <c r="B103" s="9" t="s">
        <v>125</v>
      </c>
      <c r="C103" s="21" t="str">
        <f t="shared" si="3"/>
        <v>XceptionTransferLearning</v>
      </c>
      <c r="D103" s="21">
        <f>IFERROR(__xludf.DUMMYFUNCTION("""COMPUTED_VALUE"""),"290")</f>
        <v>290</v>
      </c>
      <c r="E103" s="21" t="str">
        <f>IFERROR(__xludf.DUMMYFUNCTION("""COMPUTED_VALUE"""),"(256,256,3)")</f>
        <v>(256,256,3)</v>
      </c>
      <c r="F103" s="21" t="str">
        <f>IFERROR(__xludf.DUMMYFUNCTION("""COMPUTED_VALUE"""),"FC16")</f>
        <v>FC16</v>
      </c>
      <c r="G103" s="21">
        <f>IFERROR(__xludf.DUMMYFUNCTION("""COMPUTED_VALUE"""),"0.2")</f>
        <v>0.2</v>
      </c>
      <c r="H103" s="21" t="str">
        <f>IFERROR(__xludf.DUMMYFUNCTION("""COMPUTED_VALUE"""),"Adam")</f>
        <v>Adam</v>
      </c>
      <c r="I103" s="21">
        <f>IFERROR(__xludf.DUMMYFUNCTION("""COMPUTED_VALUE"""),"0.0001")</f>
        <v>0.0001</v>
      </c>
      <c r="J103" s="21">
        <f>IFERROR(__xludf.DUMMYFUNCTION("""COMPUTED_VALUE"""),"20")</f>
        <v>20</v>
      </c>
      <c r="K103" s="21">
        <f>IFERROR(__xludf.DUMMYFUNCTION("""COMPUTED_VALUE"""),"8")</f>
        <v>8</v>
      </c>
      <c r="L103" s="21">
        <f>IFERROR(__xludf.DUMMYFUNCTION("""COMPUTED_VALUE"""),"46.55172414")</f>
        <v>46.55172414</v>
      </c>
      <c r="M103" s="13">
        <v>1.0</v>
      </c>
      <c r="N103" s="9" t="s">
        <v>126</v>
      </c>
      <c r="O103" s="26">
        <f t="shared" si="2"/>
        <v>0.82</v>
      </c>
      <c r="P103" s="21">
        <f>IFERROR(__xludf.DUMMYFUNCTION("""COMPUTED_VALUE"""),"0.45")</f>
        <v>0.45</v>
      </c>
      <c r="Q103" s="21">
        <f>IFERROR(__xludf.DUMMYFUNCTION("""COMPUTED_VALUE"""),"0.58")</f>
        <v>0.58</v>
      </c>
      <c r="R103" s="21">
        <f>IFERROR(__xludf.DUMMYFUNCTION("""COMPUTED_VALUE"""),"31")</f>
        <v>31</v>
      </c>
      <c r="S103" s="9" t="s">
        <v>21</v>
      </c>
    </row>
    <row r="104">
      <c r="A104" s="13">
        <v>5.0</v>
      </c>
      <c r="B104" s="9" t="s">
        <v>127</v>
      </c>
      <c r="C104" s="21" t="str">
        <f t="shared" si="3"/>
        <v>XceptionTransferLearning</v>
      </c>
      <c r="D104" s="21">
        <f>IFERROR(__xludf.DUMMYFUNCTION("""COMPUTED_VALUE"""),"290")</f>
        <v>290</v>
      </c>
      <c r="E104" s="21" t="str">
        <f>IFERROR(__xludf.DUMMYFUNCTION("""COMPUTED_VALUE"""),"(256,256,3)")</f>
        <v>(256,256,3)</v>
      </c>
      <c r="F104" s="21" t="str">
        <f>IFERROR(__xludf.DUMMYFUNCTION("""COMPUTED_VALUE"""),"FC1024")</f>
        <v>FC1024</v>
      </c>
      <c r="G104" s="21">
        <f>IFERROR(__xludf.DUMMYFUNCTION("""COMPUTED_VALUE"""),"0.2")</f>
        <v>0.2</v>
      </c>
      <c r="H104" s="21" t="str">
        <f>IFERROR(__xludf.DUMMYFUNCTION("""COMPUTED_VALUE"""),"Adam")</f>
        <v>Adam</v>
      </c>
      <c r="I104" s="21">
        <f>IFERROR(__xludf.DUMMYFUNCTION("""COMPUTED_VALUE"""),"0.0001")</f>
        <v>0.0001</v>
      </c>
      <c r="J104" s="21">
        <f>IFERROR(__xludf.DUMMYFUNCTION("""COMPUTED_VALUE"""),"20")</f>
        <v>20</v>
      </c>
      <c r="K104" s="21">
        <f>IFERROR(__xludf.DUMMYFUNCTION("""COMPUTED_VALUE"""),"8")</f>
        <v>8</v>
      </c>
      <c r="L104" s="21">
        <f>IFERROR(__xludf.DUMMYFUNCTION("""COMPUTED_VALUE"""),"55.17241379")</f>
        <v>55.17241379</v>
      </c>
      <c r="M104" s="13">
        <v>1.0</v>
      </c>
      <c r="N104" s="28" t="s">
        <v>128</v>
      </c>
      <c r="O104" s="26">
        <f t="shared" si="2"/>
        <v>0.43</v>
      </c>
      <c r="P104" s="21">
        <f>IFERROR(__xludf.DUMMYFUNCTION("""COMPUTED_VALUE"""),"0.48")</f>
        <v>0.48</v>
      </c>
      <c r="Q104" s="21">
        <f>IFERROR(__xludf.DUMMYFUNCTION("""COMPUTED_VALUE"""),"0.45")</f>
        <v>0.45</v>
      </c>
      <c r="R104" s="21">
        <f>IFERROR(__xludf.DUMMYFUNCTION("""COMPUTED_VALUE"""),"21")</f>
        <v>21</v>
      </c>
      <c r="S104" s="9" t="s">
        <v>29</v>
      </c>
    </row>
    <row r="105">
      <c r="A105" s="13">
        <v>5.0</v>
      </c>
      <c r="B105" s="9" t="s">
        <v>129</v>
      </c>
      <c r="C105" s="21" t="str">
        <f t="shared" si="3"/>
        <v>XceptionTransferLearning</v>
      </c>
      <c r="D105" s="21">
        <f>IFERROR(__xludf.DUMMYFUNCTION("""COMPUTED_VALUE"""),"290")</f>
        <v>290</v>
      </c>
      <c r="E105" s="21" t="str">
        <f>IFERROR(__xludf.DUMMYFUNCTION("""COMPUTED_VALUE"""),"(256,256,3)")</f>
        <v>(256,256,3)</v>
      </c>
      <c r="F105" s="21" t="str">
        <f>IFERROR(__xludf.DUMMYFUNCTION("""COMPUTED_VALUE"""),"FC1024")</f>
        <v>FC1024</v>
      </c>
      <c r="G105" s="21">
        <f>IFERROR(__xludf.DUMMYFUNCTION("""COMPUTED_VALUE"""),"0.2")</f>
        <v>0.2</v>
      </c>
      <c r="H105" s="21" t="str">
        <f>IFERROR(__xludf.DUMMYFUNCTION("""COMPUTED_VALUE"""),"Adam")</f>
        <v>Adam</v>
      </c>
      <c r="I105" s="21">
        <f>IFERROR(__xludf.DUMMYFUNCTION("""COMPUTED_VALUE"""),"0.0001")</f>
        <v>0.0001</v>
      </c>
      <c r="J105" s="21">
        <f>IFERROR(__xludf.DUMMYFUNCTION("""COMPUTED_VALUE"""),"20")</f>
        <v>20</v>
      </c>
      <c r="K105" s="21">
        <f>IFERROR(__xludf.DUMMYFUNCTION("""COMPUTED_VALUE"""),"8")</f>
        <v>8</v>
      </c>
      <c r="L105" s="21">
        <f>IFERROR(__xludf.DUMMYFUNCTION("""COMPUTED_VALUE"""),"55.17241379")</f>
        <v>55.17241379</v>
      </c>
      <c r="M105" s="13">
        <v>1.0</v>
      </c>
      <c r="N105" s="28" t="s">
        <v>130</v>
      </c>
      <c r="O105" s="26">
        <f t="shared" si="2"/>
        <v>0.56</v>
      </c>
      <c r="P105" s="21">
        <f>IFERROR(__xludf.DUMMYFUNCTION("""COMPUTED_VALUE"""),"0.59")</f>
        <v>0.59</v>
      </c>
      <c r="Q105" s="21">
        <f>IFERROR(__xludf.DUMMYFUNCTION("""COMPUTED_VALUE"""),"0.57")</f>
        <v>0.57</v>
      </c>
      <c r="R105" s="21">
        <f>IFERROR(__xludf.DUMMYFUNCTION("""COMPUTED_VALUE"""),"17")</f>
        <v>17</v>
      </c>
      <c r="S105" s="13" t="s">
        <v>32</v>
      </c>
    </row>
    <row r="106">
      <c r="A106" s="13">
        <v>5.0</v>
      </c>
      <c r="B106" s="9" t="s">
        <v>131</v>
      </c>
      <c r="C106" s="21" t="str">
        <f t="shared" si="3"/>
        <v>XceptionTransferLearning</v>
      </c>
      <c r="D106" s="21">
        <f>IFERROR(__xludf.DUMMYFUNCTION("""COMPUTED_VALUE"""),"290")</f>
        <v>290</v>
      </c>
      <c r="E106" s="21" t="str">
        <f>IFERROR(__xludf.DUMMYFUNCTION("""COMPUTED_VALUE"""),"(256,256,3)")</f>
        <v>(256,256,3)</v>
      </c>
      <c r="F106" s="21" t="str">
        <f>IFERROR(__xludf.DUMMYFUNCTION("""COMPUTED_VALUE"""),"FC1024")</f>
        <v>FC1024</v>
      </c>
      <c r="G106" s="21">
        <f>IFERROR(__xludf.DUMMYFUNCTION("""COMPUTED_VALUE"""),"0.2")</f>
        <v>0.2</v>
      </c>
      <c r="H106" s="21" t="str">
        <f>IFERROR(__xludf.DUMMYFUNCTION("""COMPUTED_VALUE"""),"Adam")</f>
        <v>Adam</v>
      </c>
      <c r="I106" s="21">
        <f>IFERROR(__xludf.DUMMYFUNCTION("""COMPUTED_VALUE"""),"0.0001")</f>
        <v>0.0001</v>
      </c>
      <c r="J106" s="21">
        <f>IFERROR(__xludf.DUMMYFUNCTION("""COMPUTED_VALUE"""),"20")</f>
        <v>20</v>
      </c>
      <c r="K106" s="21">
        <f>IFERROR(__xludf.DUMMYFUNCTION("""COMPUTED_VALUE"""),"8")</f>
        <v>8</v>
      </c>
      <c r="L106" s="21">
        <f>IFERROR(__xludf.DUMMYFUNCTION("""COMPUTED_VALUE"""),"55.17241379")</f>
        <v>55.17241379</v>
      </c>
      <c r="M106" s="13">
        <v>1.0</v>
      </c>
      <c r="N106" s="28" t="s">
        <v>132</v>
      </c>
      <c r="O106" s="26">
        <f t="shared" si="2"/>
        <v>0.71</v>
      </c>
      <c r="P106" s="21">
        <f>IFERROR(__xludf.DUMMYFUNCTION("""COMPUTED_VALUE"""),"0.6")</f>
        <v>0.6</v>
      </c>
      <c r="Q106" s="21">
        <f>IFERROR(__xludf.DUMMYFUNCTION("""COMPUTED_VALUE"""),"0.65")</f>
        <v>0.65</v>
      </c>
      <c r="R106" s="21">
        <f>IFERROR(__xludf.DUMMYFUNCTION("""COMPUTED_VALUE"""),"20")</f>
        <v>20</v>
      </c>
      <c r="S106" s="9" t="s">
        <v>21</v>
      </c>
    </row>
    <row r="107">
      <c r="A107" s="13">
        <v>4.0</v>
      </c>
      <c r="B107" s="21"/>
      <c r="C107" s="29" t="s">
        <v>27</v>
      </c>
      <c r="D107" s="29">
        <v>1450.0</v>
      </c>
      <c r="E107" s="13" t="s">
        <v>28</v>
      </c>
      <c r="F107" s="29" t="s">
        <v>26</v>
      </c>
      <c r="G107" s="29">
        <v>0.2</v>
      </c>
      <c r="H107" s="29" t="s">
        <v>20</v>
      </c>
      <c r="I107" s="29">
        <v>1.0E-4</v>
      </c>
      <c r="J107" s="29">
        <v>30.0</v>
      </c>
      <c r="K107" s="29">
        <v>20.0</v>
      </c>
      <c r="L107" s="13">
        <v>56.5517</v>
      </c>
      <c r="M107" s="13">
        <v>1.0</v>
      </c>
      <c r="N107" s="28" t="s">
        <v>133</v>
      </c>
      <c r="O107" s="26">
        <f t="shared" si="2"/>
        <v>0.5</v>
      </c>
      <c r="P107" s="21">
        <f>IFERROR(__xludf.DUMMYFUNCTION("""COMPUTED_VALUE"""),"0.5")</f>
        <v>0.5</v>
      </c>
      <c r="Q107" s="21">
        <f>IFERROR(__xludf.DUMMYFUNCTION("""COMPUTED_VALUE"""),"0.5")</f>
        <v>0.5</v>
      </c>
      <c r="R107" s="21">
        <f>IFERROR(__xludf.DUMMYFUNCTION("""COMPUTED_VALUE"""),"115")</f>
        <v>115</v>
      </c>
      <c r="S107" s="9" t="s">
        <v>29</v>
      </c>
    </row>
    <row r="108">
      <c r="A108" s="13">
        <v>4.0</v>
      </c>
      <c r="B108" s="30" t="s">
        <v>27</v>
      </c>
      <c r="C108" s="29" t="s">
        <v>27</v>
      </c>
      <c r="D108" s="29">
        <v>1450.0</v>
      </c>
      <c r="E108" s="13" t="s">
        <v>28</v>
      </c>
      <c r="F108" s="29" t="s">
        <v>26</v>
      </c>
      <c r="G108" s="29">
        <v>0.2</v>
      </c>
      <c r="H108" s="29" t="s">
        <v>20</v>
      </c>
      <c r="I108" s="29">
        <v>1.0E-4</v>
      </c>
      <c r="J108" s="29">
        <v>30.0</v>
      </c>
      <c r="K108" s="29">
        <v>20.0</v>
      </c>
      <c r="L108" s="13">
        <v>56.5517</v>
      </c>
      <c r="M108" s="13">
        <v>1.0</v>
      </c>
      <c r="N108" s="28" t="s">
        <v>134</v>
      </c>
      <c r="O108" s="26">
        <f t="shared" si="2"/>
        <v>0.59</v>
      </c>
      <c r="P108" s="21">
        <f>IFERROR(__xludf.DUMMYFUNCTION("""COMPUTED_VALUE"""),"0.62")</f>
        <v>0.62</v>
      </c>
      <c r="Q108" s="21">
        <f>IFERROR(__xludf.DUMMYFUNCTION("""COMPUTED_VALUE"""),"0.6")</f>
        <v>0.6</v>
      </c>
      <c r="R108" s="21">
        <f>IFERROR(__xludf.DUMMYFUNCTION("""COMPUTED_VALUE"""),"86")</f>
        <v>86</v>
      </c>
      <c r="S108" s="13" t="s">
        <v>32</v>
      </c>
    </row>
    <row r="109">
      <c r="A109" s="13">
        <v>4.0</v>
      </c>
      <c r="B109" s="21"/>
      <c r="C109" s="29" t="s">
        <v>27</v>
      </c>
      <c r="D109" s="29">
        <v>1450.0</v>
      </c>
      <c r="E109" s="13" t="s">
        <v>28</v>
      </c>
      <c r="F109" s="29" t="s">
        <v>26</v>
      </c>
      <c r="G109" s="29">
        <v>0.2</v>
      </c>
      <c r="H109" s="29" t="s">
        <v>20</v>
      </c>
      <c r="I109" s="29">
        <v>1.0E-4</v>
      </c>
      <c r="J109" s="29">
        <v>30.0</v>
      </c>
      <c r="K109" s="29">
        <v>20.0</v>
      </c>
      <c r="L109" s="13">
        <v>56.5517</v>
      </c>
      <c r="M109" s="13">
        <v>1.0</v>
      </c>
      <c r="N109" s="28" t="s">
        <v>135</v>
      </c>
      <c r="O109" s="26">
        <f t="shared" si="2"/>
        <v>0.62</v>
      </c>
      <c r="P109" s="21">
        <f>IFERROR(__xludf.DUMMYFUNCTION("""COMPUTED_VALUE"""),"0.6")</f>
        <v>0.6</v>
      </c>
      <c r="Q109" s="21">
        <f>IFERROR(__xludf.DUMMYFUNCTION("""COMPUTED_VALUE"""),"0.61")</f>
        <v>0.61</v>
      </c>
      <c r="R109" s="21">
        <f>IFERROR(__xludf.DUMMYFUNCTION("""COMPUTED_VALUE"""),"89")</f>
        <v>89</v>
      </c>
      <c r="S109" s="9" t="s">
        <v>21</v>
      </c>
    </row>
    <row r="110" hidden="1">
      <c r="A110" s="13">
        <v>3.0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8" t="s">
        <v>136</v>
      </c>
      <c r="O110" s="26">
        <f t="shared" si="2"/>
        <v>0</v>
      </c>
      <c r="P110" s="21">
        <f>IFERROR(__xludf.DUMMYFUNCTION("""COMPUTED_VALUE"""),"0")</f>
        <v>0</v>
      </c>
      <c r="Q110" s="21">
        <f>IFERROR(__xludf.DUMMYFUNCTION("""COMPUTED_VALUE"""),"0")</f>
        <v>0</v>
      </c>
      <c r="R110" s="21">
        <f>IFERROR(__xludf.DUMMYFUNCTION("""COMPUTED_VALUE"""),"0")</f>
        <v>0</v>
      </c>
      <c r="S110" s="13" t="s">
        <v>32</v>
      </c>
    </row>
    <row r="111" hidden="1">
      <c r="A111" s="13">
        <v>3.0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8" t="s">
        <v>137</v>
      </c>
      <c r="O111" s="26">
        <f t="shared" si="2"/>
        <v>1</v>
      </c>
      <c r="P111" s="21">
        <f>IFERROR(__xludf.DUMMYFUNCTION("""COMPUTED_VALUE"""),"0.4")</f>
        <v>0.4</v>
      </c>
      <c r="Q111" s="21">
        <f>IFERROR(__xludf.DUMMYFUNCTION("""COMPUTED_VALUE"""),"0.57")</f>
        <v>0.57</v>
      </c>
      <c r="R111" s="21">
        <f>IFERROR(__xludf.DUMMYFUNCTION("""COMPUTED_VALUE"""),"58")</f>
        <v>58</v>
      </c>
      <c r="S111" s="9" t="s">
        <v>29</v>
      </c>
    </row>
    <row r="112" hidden="1">
      <c r="A112" s="13">
        <v>3.0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8" t="s">
        <v>136</v>
      </c>
      <c r="O112" s="26">
        <f t="shared" si="2"/>
        <v>0</v>
      </c>
      <c r="P112" s="21">
        <f>IFERROR(__xludf.DUMMYFUNCTION("""COMPUTED_VALUE"""),"0")</f>
        <v>0</v>
      </c>
      <c r="Q112" s="21">
        <f>IFERROR(__xludf.DUMMYFUNCTION("""COMPUTED_VALUE"""),"0")</f>
        <v>0</v>
      </c>
      <c r="R112" s="21">
        <f>IFERROR(__xludf.DUMMYFUNCTION("""COMPUTED_VALUE"""),"0")</f>
        <v>0</v>
      </c>
      <c r="S112" s="9" t="s">
        <v>21</v>
      </c>
    </row>
    <row r="113" hidden="1">
      <c r="A113" s="13">
        <v>2.0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8" t="s">
        <v>138</v>
      </c>
      <c r="O113" s="26">
        <f t="shared" si="2"/>
        <v>0.39</v>
      </c>
      <c r="P113" s="21">
        <f>IFERROR(__xludf.DUMMYFUNCTION("""COMPUTED_VALUE"""),"0.78")</f>
        <v>0.78</v>
      </c>
      <c r="Q113" s="21">
        <f>IFERROR(__xludf.DUMMYFUNCTION("""COMPUTED_VALUE"""),"0.52")</f>
        <v>0.52</v>
      </c>
      <c r="R113" s="21">
        <f>IFERROR(__xludf.DUMMYFUNCTION("""COMPUTED_VALUE"""),"9")</f>
        <v>9</v>
      </c>
      <c r="S113" s="13" t="s">
        <v>32</v>
      </c>
    </row>
    <row r="114" hidden="1">
      <c r="A114" s="13">
        <v>2.0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8" t="s">
        <v>139</v>
      </c>
      <c r="O114" s="26">
        <f t="shared" si="2"/>
        <v>0.83</v>
      </c>
      <c r="P114" s="21">
        <f>IFERROR(__xludf.DUMMYFUNCTION("""COMPUTED_VALUE"""),"0.51")</f>
        <v>0.51</v>
      </c>
      <c r="Q114" s="21">
        <f>IFERROR(__xludf.DUMMYFUNCTION("""COMPUTED_VALUE"""),"0.63")</f>
        <v>0.63</v>
      </c>
      <c r="R114" s="21">
        <f>IFERROR(__xludf.DUMMYFUNCTION("""COMPUTED_VALUE"""),"37")</f>
        <v>37</v>
      </c>
      <c r="S114" s="9" t="s">
        <v>29</v>
      </c>
    </row>
    <row r="115" hidden="1">
      <c r="A115" s="13">
        <v>2.0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8" t="s">
        <v>140</v>
      </c>
      <c r="O115" s="26">
        <f t="shared" si="2"/>
        <v>0.41</v>
      </c>
      <c r="P115" s="21">
        <f>IFERROR(__xludf.DUMMYFUNCTION("""COMPUTED_VALUE"""),"0.58")</f>
        <v>0.58</v>
      </c>
      <c r="Q115" s="21">
        <f>IFERROR(__xludf.DUMMYFUNCTION("""COMPUTED_VALUE"""),"0.48")</f>
        <v>0.48</v>
      </c>
      <c r="R115" s="21">
        <f>IFERROR(__xludf.DUMMYFUNCTION("""COMPUTED_VALUE"""),"12")</f>
        <v>12</v>
      </c>
      <c r="S115" s="9" t="s">
        <v>21</v>
      </c>
    </row>
    <row r="116" hidden="1">
      <c r="A116" s="13">
        <v>1.0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9" t="s">
        <v>136</v>
      </c>
      <c r="O116" s="26">
        <f t="shared" si="2"/>
        <v>0</v>
      </c>
      <c r="P116" s="21">
        <f>IFERROR(__xludf.DUMMYFUNCTION("""COMPUTED_VALUE"""),"0")</f>
        <v>0</v>
      </c>
      <c r="Q116" s="21">
        <f>IFERROR(__xludf.DUMMYFUNCTION("""COMPUTED_VALUE"""),"0")</f>
        <v>0</v>
      </c>
      <c r="R116" s="21">
        <f>IFERROR(__xludf.DUMMYFUNCTION("""COMPUTED_VALUE"""),"0")</f>
        <v>0</v>
      </c>
      <c r="S116" s="13" t="s">
        <v>32</v>
      </c>
    </row>
    <row r="117" hidden="1">
      <c r="A117" s="13">
        <v>1.0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9" t="s">
        <v>137</v>
      </c>
      <c r="O117" s="26">
        <f t="shared" si="2"/>
        <v>1</v>
      </c>
      <c r="P117" s="21">
        <f>IFERROR(__xludf.DUMMYFUNCTION("""COMPUTED_VALUE"""),"0.4")</f>
        <v>0.4</v>
      </c>
      <c r="Q117" s="21">
        <f>IFERROR(__xludf.DUMMYFUNCTION("""COMPUTED_VALUE"""),"0.57")</f>
        <v>0.57</v>
      </c>
      <c r="R117" s="21">
        <f>IFERROR(__xludf.DUMMYFUNCTION("""COMPUTED_VALUE"""),"58")</f>
        <v>58</v>
      </c>
      <c r="S117" s="9" t="s">
        <v>29</v>
      </c>
    </row>
    <row r="118" hidden="1">
      <c r="A118" s="13">
        <v>1.0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9" t="s">
        <v>136</v>
      </c>
      <c r="O118" s="26">
        <f t="shared" si="2"/>
        <v>0</v>
      </c>
      <c r="P118" s="21">
        <f>IFERROR(__xludf.DUMMYFUNCTION("""COMPUTED_VALUE"""),"0")</f>
        <v>0</v>
      </c>
      <c r="Q118" s="21">
        <f>IFERROR(__xludf.DUMMYFUNCTION("""COMPUTED_VALUE"""),"0")</f>
        <v>0</v>
      </c>
      <c r="R118" s="21">
        <f>IFERROR(__xludf.DUMMYFUNCTION("""COMPUTED_VALUE"""),"0")</f>
        <v>0</v>
      </c>
      <c r="S118" s="9" t="s">
        <v>21</v>
      </c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3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9"/>
    </row>
    <row r="121">
      <c r="A121" s="21"/>
      <c r="B121" s="29" t="s">
        <v>27</v>
      </c>
      <c r="C121" s="29"/>
      <c r="D121" s="29"/>
      <c r="E121" s="29"/>
      <c r="F121" s="29"/>
      <c r="G121" s="29"/>
      <c r="H121" s="29"/>
      <c r="I121" s="29"/>
      <c r="J121" s="29"/>
      <c r="K121" s="21"/>
      <c r="L121" s="21"/>
      <c r="M121" s="21"/>
      <c r="N121" s="21"/>
      <c r="O121" s="21"/>
      <c r="P121" s="21"/>
      <c r="Q121" s="21"/>
      <c r="R121" s="21"/>
      <c r="S121" s="9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3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9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9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3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9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9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3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9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9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3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9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9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3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9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9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</row>
  </sheetData>
  <drawing r:id="rId1"/>
</worksheet>
</file>